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omments1.xml" ContentType="application/vnd.openxmlformats-officedocument.spreadsheetml.comments+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omments2.xml" ContentType="application/vnd.openxmlformats-officedocument.spreadsheetml.comments+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omments3.xml" ContentType="application/vnd.openxmlformats-officedocument.spreadsheetml.comments+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omments4.xml" ContentType="application/vnd.openxmlformats-officedocument.spreadsheetml.comments+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mc:AlternateContent xmlns:mc="http://schemas.openxmlformats.org/markup-compatibility/2006">
    <mc:Choice Requires="x15">
      <x15ac:absPath xmlns:x15ac="http://schemas.microsoft.com/office/spreadsheetml/2010/11/ac" url="C:\Users\Marit\Desktop\Backup_20200224\Documents\Nils\"/>
    </mc:Choice>
  </mc:AlternateContent>
  <bookViews>
    <workbookView xWindow="0" yWindow="0" windowWidth="21570" windowHeight="8085" tabRatio="899"/>
  </bookViews>
  <sheets>
    <sheet name="Haushalt" sheetId="1" r:id="rId1"/>
    <sheet name="HHJ_2021_2022" sheetId="67" r:id="rId2"/>
    <sheet name="Aufwandsentschädigungen" sheetId="49" r:id="rId3"/>
    <sheet name="Stellenplan" sheetId="3" r:id="rId4"/>
    <sheet name="Mieten und Lizenzen" sheetId="61" r:id="rId5"/>
    <sheet name="Anschaffungsplan+BHS" sheetId="4" r:id="rId6"/>
    <sheet name="Referatspläne" sheetId="2" r:id="rId7"/>
    <sheet name="Leistungen Dritter" sheetId="62" r:id="rId8"/>
    <sheet name="WiWi" sheetId="69" r:id="rId9"/>
    <sheet name="KSW" sheetId="63" r:id="rId10"/>
    <sheet name="PSY" sheetId="64" r:id="rId11"/>
    <sheet name="ReWi" sheetId="65" r:id="rId12"/>
    <sheet name="M_I" sheetId="66" r:id="rId13"/>
  </sheets>
  <externalReferences>
    <externalReference r:id="rId14"/>
  </externalReferences>
  <definedNames>
    <definedName name="AEFKKSW_413.21">KSW!$E$80</definedName>
    <definedName name="AEFKKSW_527.40">KSW!$F$80</definedName>
    <definedName name="AEFKKSW_529.40">KSW!$G$80</definedName>
    <definedName name="AEFKKSW_531.40">KSW!$H$80</definedName>
    <definedName name="AEFKM_I_413.21">M_I!$E$69</definedName>
    <definedName name="AEFKM_I_527.40">M_I!$F$69</definedName>
    <definedName name="AEFKM_I_529.40">M_I!$G$69</definedName>
    <definedName name="AEFKM_I_531.40">M_I!$H$69</definedName>
    <definedName name="AEFKPSY_413.21">PSY!$E$66</definedName>
    <definedName name="AEFKPSY_527.40">PSY!$F$66</definedName>
    <definedName name="AEFKPSY_529.40">PSY!$G$66</definedName>
    <definedName name="AEFKPSY_531.40">PSY!$H$66</definedName>
    <definedName name="AEFKRewi_413.21">ReWi!$E$70</definedName>
    <definedName name="AEFKRewi_527.40">ReWi!$F$70</definedName>
    <definedName name="AEFKRewi_529.40">ReWi!$G$70</definedName>
    <definedName name="AEFKRewi_531.40">ReWi!$H$70</definedName>
    <definedName name="AEFKWiwi_413.21" localSheetId="9">KSW!$E$80</definedName>
    <definedName name="AEFKWiwi_413.21" localSheetId="12">M_I!$E$69</definedName>
    <definedName name="AEFKWiwi_413.21" localSheetId="10">PSY!$E$66</definedName>
    <definedName name="AEFKWiwi_413.21" localSheetId="11">ReWi!$E$70</definedName>
    <definedName name="AEFKWiwi_413.21">WiWi!$E$66</definedName>
    <definedName name="AEFKWiwi_527.40" localSheetId="9">KSW!$F$80</definedName>
    <definedName name="AEFKWiwi_527.40" localSheetId="12">M_I!$F$69</definedName>
    <definedName name="AEFKWiwi_527.40" localSheetId="10">PSY!$F$66</definedName>
    <definedName name="AEFKWiwi_527.40" localSheetId="11">ReWi!$F$70</definedName>
    <definedName name="AEFKWiwi_527.40">WiWi!$F$66</definedName>
    <definedName name="AEFKWiwi_529.40" localSheetId="9">KSW!$G$80</definedName>
    <definedName name="AEFKWiwi_529.40" localSheetId="12">M_I!$G$69</definedName>
    <definedName name="AEFKWiwi_529.40" localSheetId="10">PSY!$G$66</definedName>
    <definedName name="AEFKWiwi_529.40" localSheetId="11">ReWi!$G$70</definedName>
    <definedName name="AEFKWiwi_529.40">WiWi!$G$66</definedName>
    <definedName name="AEFKWiwi_531.40" localSheetId="9">KSW!$H$80</definedName>
    <definedName name="AEFKWiwi_531.40" localSheetId="12">M_I!$H$69</definedName>
    <definedName name="AEFKWiwi_531.40" localSheetId="10">PSY!$H$66</definedName>
    <definedName name="AEFKWiwi_531.40" localSheetId="11">ReWi!$H$70</definedName>
    <definedName name="AEFKWiwi_531.40">WiWi!$H$66</definedName>
    <definedName name="AStA_Bew.Ext.">Haushalt!$D$178</definedName>
    <definedName name="AStA_Bew.Int.">Haushalt!$D$158</definedName>
    <definedName name="AStA_Druck">Haushalt!$D$180</definedName>
    <definedName name="AStA_Einn.Bew.">Haushalt!$D$24</definedName>
    <definedName name="AStA_Ext.RK">Haushalt!$D$177</definedName>
    <definedName name="AStA_Hon_I">Haushalt!$D$175</definedName>
    <definedName name="AStA_Hon_II">Haushalt!$D$176</definedName>
    <definedName name="AStA_R_U_Ext.">Haushalt!$D$179</definedName>
    <definedName name="AStA_R_U_Int.">Haushalt!$D$147</definedName>
    <definedName name="AStA_Referate">Haushalt!$D$97</definedName>
    <definedName name="AStA_RK_Int.">Haushalt!$D$135</definedName>
    <definedName name="AStA_SKP">Haushalt!$D$99</definedName>
    <definedName name="AStA_Sonst.">Haushalt!$D$181</definedName>
    <definedName name="AStA_TN_2">Haushalt!$D$20</definedName>
    <definedName name="AStA_TN_I">Haushalt!$D$19</definedName>
    <definedName name="AStA_VBG">Haushalt!$D$100</definedName>
    <definedName name="Beschäft._VBG">Haushalt!$D$107</definedName>
    <definedName name="BHS_II">Tabelle211123957[[#Totals],[Betrag]]</definedName>
    <definedName name="BR_Besch.">Haushalt!$D$106</definedName>
    <definedName name="BR_Beschäft.">Haushalt!$D$106</definedName>
    <definedName name="Bundesknappschaft">Haushalt!$D$98</definedName>
    <definedName name="Campus_Bew.">Referatspläne!$D$143</definedName>
    <definedName name="Förderungen">Haushalt!$D$27</definedName>
    <definedName name="Förderungen_Sonst">Haushalt!$D$30</definedName>
    <definedName name="Gehälter_Beschäft.">Haushalt!$D$103</definedName>
    <definedName name="IT_Dienstl.">'Leistungen Dritter'!$A$26</definedName>
    <definedName name="IT_Mieten">Haushalt!$D$125</definedName>
    <definedName name="IT_Mieten_Ges.">Tabelle16[[#Totals],[Beträge/Budget]]</definedName>
    <definedName name="KSW_AE_var">Haushalt!$D$90</definedName>
    <definedName name="KSW_Bew.Ext.">Haushalt!$D$204</definedName>
    <definedName name="KSW_Bew.Int.">Haushalt!$D$162</definedName>
    <definedName name="KSW_Druck">Haushalt!$D$216</definedName>
    <definedName name="KSW_Ext.RK">Haushalt!$D$198</definedName>
    <definedName name="KSW_Hon_I">Haushalt!$D$186</definedName>
    <definedName name="KSW_Hon_II">Haushalt!$D$192</definedName>
    <definedName name="KSW_R_U_Ext.">Haushalt!$D$210</definedName>
    <definedName name="KSW_R_U_Int.">Haushalt!$D$150</definedName>
    <definedName name="KSW_RK_Int.">Haushalt!$D$138</definedName>
    <definedName name="KSW_Sonst.">Haushalt!$D$222</definedName>
    <definedName name="KSW_Sonst_Einnahmen">Haushalt!$D$53</definedName>
    <definedName name="KSW_TN_Beiträge_I">Haushalt!$D$39</definedName>
    <definedName name="KSW_TN_Beiträge_II">Haushalt!$D$46</definedName>
    <definedName name="Lerngruppen_ges.">Referatspläne!$B$135</definedName>
    <definedName name="Lizenzen">Haushalt!$D$123</definedName>
    <definedName name="Lizenzen_Ges.">Tabelle17[[#Totals],[Beträge/Budget]]</definedName>
    <definedName name="M_I_AE_var">Haushalt!$D$93</definedName>
    <definedName name="M_I_Bew.Ext.">Haushalt!$D$207</definedName>
    <definedName name="M_I_Bew.Int.">Haushalt!$D$165</definedName>
    <definedName name="M_I_Druck">Haushalt!$D$219</definedName>
    <definedName name="M_I_Ext.RK">Haushalt!$D$201</definedName>
    <definedName name="M_I_Hon_I">Haushalt!$D$189</definedName>
    <definedName name="M_I_Hon_II">Haushalt!$D$195</definedName>
    <definedName name="M_I_R_U_Ext.">Haushalt!$D$213</definedName>
    <definedName name="M_I_R_U_Int.">Haushalt!$D$153</definedName>
    <definedName name="M_I_RK_Int.">Haushalt!$D$141</definedName>
    <definedName name="M_I_Sonst.">Haushalt!$D$225</definedName>
    <definedName name="M_I_Sonst_Einnahmen">Haushalt!$D$56</definedName>
    <definedName name="M_I_TN_Beiträge_I">Haushalt!$D$42</definedName>
    <definedName name="M_I_TN_Beiträge_II">Haushalt!$D$49</definedName>
    <definedName name="MaßnKSW_220.10">KSW!$C$62</definedName>
    <definedName name="MaßnKSW_230.10">KSW!$D$62</definedName>
    <definedName name="MaßnKSW_527.40">KSW!$F$62</definedName>
    <definedName name="MaßnKSW_529.40">KSW!$G$62</definedName>
    <definedName name="MaßnKSW_531.40">KSW!$H$62</definedName>
    <definedName name="MaßnKSW_551.40">KSW!$I$62</definedName>
    <definedName name="MaßnKSW_551.50">KSW!$J$62</definedName>
    <definedName name="MaßnKSW_551.60">KSW!$K$62</definedName>
    <definedName name="MaßnKSW_551.70">KSW!$L$62</definedName>
    <definedName name="MaßnKSW_560.70">KSW!$M$62</definedName>
    <definedName name="MaßnM_I_220.10">M_I!$C$51</definedName>
    <definedName name="MaßnM_I_230.10">M_I!$D$51</definedName>
    <definedName name="MaßnM_I_413.21">M_I!$E$51</definedName>
    <definedName name="MaßnM_I_527.40">M_I!$F$51</definedName>
    <definedName name="MaßnM_I_529.40">M_I!$G$51</definedName>
    <definedName name="MaßnM_I_531.40">M_I!$H$51</definedName>
    <definedName name="MaßnM_I_551.40">M_I!$I$51</definedName>
    <definedName name="MaßnM_I_551.50">M_I!$J$51</definedName>
    <definedName name="MaßnM_I_551.60">M_I!$K$51</definedName>
    <definedName name="MaßnM_I_551.70">M_I!$L$51</definedName>
    <definedName name="MaßnM_I_560.70">M_I!$M$51</definedName>
    <definedName name="MaßnPSY_220.10">PSY!$C$48</definedName>
    <definedName name="MaßnPSY_230.10">PSY!$D$48</definedName>
    <definedName name="MaßnPSY_413.21">PSY!$E$48</definedName>
    <definedName name="MaßnPSY_527.40">PSY!$F$48</definedName>
    <definedName name="MaßnPSY_529.40">PSY!$G$48</definedName>
    <definedName name="MaßnPSY_531.40">PSY!$H$48</definedName>
    <definedName name="MaßnPSY_551.40">PSY!$I$48</definedName>
    <definedName name="MaßnPSY_551.50">PSY!$J$48</definedName>
    <definedName name="MaßnPSY_551.60">PSY!$K$48</definedName>
    <definedName name="MaßnPSY_551.70">PSY!$L$48</definedName>
    <definedName name="MaßnPSY_560.70">PSY!$M$48</definedName>
    <definedName name="MaßnRewi_220.10">ReWi!$C$52</definedName>
    <definedName name="MaßnRewi_230.10">ReWi!$D$52</definedName>
    <definedName name="MaßnRewi_413.21">ReWi!$E$52</definedName>
    <definedName name="MaßnRewi_527.40">ReWi!$F$52</definedName>
    <definedName name="MaßnRewi_529.40">ReWi!$G$52</definedName>
    <definedName name="MaßnRewi_531.40">ReWi!$H$52</definedName>
    <definedName name="MaßnRewi_551.40">ReWi!$I$52</definedName>
    <definedName name="MaßnRewi_551.50">ReWi!$J$52</definedName>
    <definedName name="MaßnRewi_551.60">ReWi!$K$52</definedName>
    <definedName name="MaßnRewi_551.70">ReWi!$L$52</definedName>
    <definedName name="MaßnRewi_560.70">ReWi!$M$52</definedName>
    <definedName name="MaßnWiwi_220.10" localSheetId="9">KSW!$C$62</definedName>
    <definedName name="MaßnWiwi_220.10" localSheetId="12">M_I!$C$51</definedName>
    <definedName name="MaßnWiwi_220.10" localSheetId="10">PSY!$C$48</definedName>
    <definedName name="MaßnWiwi_220.10" localSheetId="11">ReWi!$C$52</definedName>
    <definedName name="MaßnWiwi_220.10">WiWi!$C$49</definedName>
    <definedName name="MaßnWiwi_230.10" localSheetId="9">KSW!$D$62</definedName>
    <definedName name="MaßnWiwi_230.10" localSheetId="12">M_I!$D$51</definedName>
    <definedName name="MaßnWiwi_230.10" localSheetId="10">PSY!$D$48</definedName>
    <definedName name="MaßnWiwi_230.10" localSheetId="11">ReWi!$D$52</definedName>
    <definedName name="MaßnWiwi_230.10">WiWi!$D$49</definedName>
    <definedName name="MaßnWiwi_413.21" localSheetId="9">KSW!$E$62</definedName>
    <definedName name="MaßnWiwi_413.21" localSheetId="12">M_I!$E$51</definedName>
    <definedName name="MaßnWiwi_413.21" localSheetId="10">PSY!$E$48</definedName>
    <definedName name="MaßnWiwi_413.21" localSheetId="11">ReWi!$E$52</definedName>
    <definedName name="MaßnWiwi_413.21">WiWi!$E$49</definedName>
    <definedName name="MaßnWiwi_527.40" localSheetId="9">KSW!$F$62</definedName>
    <definedName name="MaßnWiwi_527.40" localSheetId="12">M_I!$F$51</definedName>
    <definedName name="MaßnWiwi_527.40" localSheetId="10">PSY!$F$48</definedName>
    <definedName name="MaßnWiwi_527.40" localSheetId="11">ReWi!$F$52</definedName>
    <definedName name="MaßnWiwi_527.40">WiWi!$F$49</definedName>
    <definedName name="MaßnWiwi_529.40" localSheetId="9">KSW!$G$62</definedName>
    <definedName name="MaßnWiwi_529.40" localSheetId="12">M_I!$G$51</definedName>
    <definedName name="MaßnWiwi_529.40" localSheetId="10">PSY!$G$48</definedName>
    <definedName name="MaßnWiwi_529.40" localSheetId="11">ReWi!$G$52</definedName>
    <definedName name="MaßnWiwi_529.40">WiWi!$G$49</definedName>
    <definedName name="MaßnWiwi_531.40" localSheetId="9">KSW!$H$62</definedName>
    <definedName name="MaßnWiwi_531.40" localSheetId="12">M_I!$H$51</definedName>
    <definedName name="MaßnWiwi_531.40" localSheetId="10">PSY!$H$48</definedName>
    <definedName name="MaßnWiwi_531.40" localSheetId="11">ReWi!$H$52</definedName>
    <definedName name="MaßnWiwi_531.40">WiWi!$H$49</definedName>
    <definedName name="MaßnWiwi_551.40" localSheetId="9">KSW!$I$62</definedName>
    <definedName name="MaßnWiwi_551.40" localSheetId="12">M_I!$I$51</definedName>
    <definedName name="MaßnWiwi_551.40" localSheetId="10">PSY!$I$48</definedName>
    <definedName name="MaßnWiwi_551.40" localSheetId="11">ReWi!$I$52</definedName>
    <definedName name="MaßnWiwi_551.40">WiWi!$I$49</definedName>
    <definedName name="MaßnWiwi_551.50" localSheetId="9">KSW!$J$62</definedName>
    <definedName name="MaßnWiwi_551.50" localSheetId="12">M_I!$J$51</definedName>
    <definedName name="MaßnWiwi_551.50" localSheetId="10">PSY!$J$48</definedName>
    <definedName name="MaßnWiwi_551.50" localSheetId="11">ReWi!$J$52</definedName>
    <definedName name="MaßnWiwi_551.50">WiWi!$J$49</definedName>
    <definedName name="MaßnWiwi_551.60" localSheetId="9">KSW!$K$62</definedName>
    <definedName name="MaßnWiwi_551.60" localSheetId="12">M_I!$K$51</definedName>
    <definedName name="MaßnWiwi_551.60" localSheetId="10">PSY!$K$48</definedName>
    <definedName name="MaßnWiwi_551.60" localSheetId="11">ReWi!$K$52</definedName>
    <definedName name="MaßnWiwi_551.60">WiWi!$K$49</definedName>
    <definedName name="MaßnWiwi_551.70" localSheetId="9">KSW!$L$62</definedName>
    <definedName name="MaßnWiwi_551.70" localSheetId="12">M_I!$L$51</definedName>
    <definedName name="MaßnWiwi_551.70" localSheetId="10">PSY!$L$48</definedName>
    <definedName name="MaßnWiwi_551.70" localSheetId="11">ReWi!$L$52</definedName>
    <definedName name="MaßnWiwi_551.70">WiWi!$L$49</definedName>
    <definedName name="MaßnWiwi_560.70" localSheetId="9">KSW!$M$62</definedName>
    <definedName name="MaßnWiwi_560.70" localSheetId="12">M_I!$M$51</definedName>
    <definedName name="MaßnWiwi_560.70" localSheetId="10">PSY!$M$48</definedName>
    <definedName name="MaßnWiwi_560.70" localSheetId="11">ReWi!$M$52</definedName>
    <definedName name="MaßnWiwi_560.70">WiWi!$M$49</definedName>
    <definedName name="Mieten">'Mieten und Lizenzen'!$A$3</definedName>
    <definedName name="Neu_Allg.">'Anschaffungsplan+BHS'!$A$3</definedName>
    <definedName name="Neu_BHS">'Anschaffungsplan+BHS'!$A$31</definedName>
    <definedName name="Neu_EDV_Tel.">'Anschaffungsplan+BHS'!$A$12</definedName>
    <definedName name="Neuanschaff_Allg">Haushalt!$D$128</definedName>
    <definedName name="Neuanschaff_EDV">Haushalt!$D$129</definedName>
    <definedName name="Psy_AE_var">Haushalt!$D$91</definedName>
    <definedName name="Psy_Bew.Ext.">Haushalt!$D$205</definedName>
    <definedName name="Psy_Bew.Int.">Haushalt!$D$163</definedName>
    <definedName name="Psy_Druck">Haushalt!$D$217</definedName>
    <definedName name="Psy_Ext.RK">Haushalt!$D$199</definedName>
    <definedName name="PSY_Hon_I">Haushalt!$D$187</definedName>
    <definedName name="Psy_Hon_II">Haushalt!$D$193</definedName>
    <definedName name="Psy_R_U_Ext.">Haushalt!$D$211</definedName>
    <definedName name="Psy_R_U_Int.">Haushalt!$D$151</definedName>
    <definedName name="Psy_RK_Int.">Haushalt!$D$139</definedName>
    <definedName name="Psy_Sonst.">Haushalt!$D$223</definedName>
    <definedName name="Psy_Sonst_Einnahmen">Haushalt!$D$54</definedName>
    <definedName name="Psy_TN_Beiträge_I">Haushalt!$D$40</definedName>
    <definedName name="Psy_TN_Beiträge_II">Haushalt!$D$47</definedName>
    <definedName name="Rechtsk.FSen">Haushalt!$D$235</definedName>
    <definedName name="Renov_Inst">Haushalt!$D$130</definedName>
    <definedName name="Renov_Inst.">'Anschaffungsplan+BHS'!$A$21</definedName>
    <definedName name="Rewi_AE_var">Haushalt!$D$92</definedName>
    <definedName name="Rewi_Bew.Ext.">Haushalt!$D$206</definedName>
    <definedName name="Rewi_Bew.Int.">Haushalt!$D$164</definedName>
    <definedName name="Rewi_Druck">Haushalt!$D$218</definedName>
    <definedName name="Rewi_Ext.RK">Haushalt!$D$200</definedName>
    <definedName name="Rewi_Hon_I">Haushalt!$D$188</definedName>
    <definedName name="Rewi_Hon_II">Haushalt!$D$194</definedName>
    <definedName name="Rewi_R_U_Ext.">Haushalt!$D$212</definedName>
    <definedName name="Rewi_R_U_Int.">Haushalt!$D$152</definedName>
    <definedName name="Rewi_RK_Int.">Haushalt!$D$140</definedName>
    <definedName name="Rewi_Sonst.">Haushalt!$D$224</definedName>
    <definedName name="Rewi_Sonst_Einnahmen">Haushalt!$D$55</definedName>
    <definedName name="Rewi_TN_Beiträge_I">Haushalt!$D$41</definedName>
    <definedName name="Rewi_TN_Beiträge_II">Haushalt!$D$48</definedName>
    <definedName name="SemKSW_210.10">KSW!$C$34</definedName>
    <definedName name="SemKSW_220.10">KSW!$D$34</definedName>
    <definedName name="SemKSW_230.10">KSW!$E$34</definedName>
    <definedName name="SemKSW_551.10">KSW!$F$34</definedName>
    <definedName name="SemKSW_551.20">KSW!$G$34</definedName>
    <definedName name="SemKSW_551.30">KSW!$H$34</definedName>
    <definedName name="SemKSW_551.40">KSW!$I$34</definedName>
    <definedName name="SemKSW_551.50">KSW!$J$34</definedName>
    <definedName name="SemKSW_551.60">KSW!$K$34</definedName>
    <definedName name="SemM_I_210.10">M_I!$C$34</definedName>
    <definedName name="SemM_I_220.10">M_I!$D$34</definedName>
    <definedName name="SemM_I_230.10">M_I!$E$34</definedName>
    <definedName name="SemM_I_551.10">M_I!$F$34</definedName>
    <definedName name="SemM_I_551.20">M_I!$G$34</definedName>
    <definedName name="SemM_I_551.30">M_I!$H$34</definedName>
    <definedName name="SemM_I_551.40">M_I!$I$34</definedName>
    <definedName name="SemM_I_551.50">M_I!$J$34</definedName>
    <definedName name="SemM_I_551.60">M_I!$K$34</definedName>
    <definedName name="SemPSY_210.10">PSY!$C$34</definedName>
    <definedName name="SemPSY_220.10">PSY!$D$34</definedName>
    <definedName name="SemPSY_230.10">PSY!$E$34</definedName>
    <definedName name="SemPSY_551.10">PSY!$F$34</definedName>
    <definedName name="SemPSY_551.20">PSY!$G$34</definedName>
    <definedName name="SemPSY_551.30">PSY!$H$34</definedName>
    <definedName name="SemPSY_551.40">PSY!$I$34</definedName>
    <definedName name="SemPSY_551.50">PSY!$J$34</definedName>
    <definedName name="SemPSY_551.60">PSY!$K$34</definedName>
    <definedName name="SemRewi_210.10">ReWi!$C$34</definedName>
    <definedName name="SemRewi_220.10">ReWi!$D$34</definedName>
    <definedName name="SemRewi_230.10">ReWi!$E$34</definedName>
    <definedName name="SemRewi_551.10">ReWi!$F$34</definedName>
    <definedName name="SemRewi_551.20">ReWi!$G$34</definedName>
    <definedName name="SemRewi_551.30">ReWi!$H$34</definedName>
    <definedName name="SemRewi_551.40">ReWi!$I$34</definedName>
    <definedName name="SemRewi_551.50">ReWi!$J$34</definedName>
    <definedName name="SemRewi_551.60">ReWi!$K$34</definedName>
    <definedName name="SemWiwi_210.10" localSheetId="9">KSW!$C$34</definedName>
    <definedName name="SemWiwi_210.10" localSheetId="12">M_I!$C$34</definedName>
    <definedName name="SemWiwi_210.10" localSheetId="10">PSY!$C$34</definedName>
    <definedName name="SemWiwi_210.10" localSheetId="11">ReWi!$C$34</definedName>
    <definedName name="SemWiwi_210.10">WiWi!$C$34</definedName>
    <definedName name="SemWiwi_220.10" localSheetId="9">KSW!$D$34</definedName>
    <definedName name="SemWiwi_220.10" localSheetId="12">M_I!$D$34</definedName>
    <definedName name="SemWiwi_220.10" localSheetId="10">PSY!$D$34</definedName>
    <definedName name="SemWiwi_220.10" localSheetId="11">ReWi!$D$34</definedName>
    <definedName name="SemWiwi_220.10">WiWi!$D$34</definedName>
    <definedName name="SemWiwi_230.10" localSheetId="9">KSW!$E$34</definedName>
    <definedName name="SemWiwi_230.10" localSheetId="12">M_I!$E$34</definedName>
    <definedName name="SemWiwi_230.10" localSheetId="10">PSY!$E$34</definedName>
    <definedName name="SemWiwi_230.10" localSheetId="11">ReWi!$E$34</definedName>
    <definedName name="SemWiwi_230.10">WiWi!$E$34</definedName>
    <definedName name="SemWiwi_551.10" localSheetId="9">KSW!$F$34</definedName>
    <definedName name="SemWiwi_551.10" localSheetId="12">M_I!$F$34</definedName>
    <definedName name="SemWiwi_551.10" localSheetId="10">PSY!$F$34</definedName>
    <definedName name="SemWiwi_551.10" localSheetId="11">ReWi!$F$34</definedName>
    <definedName name="SemWiwi_551.10">WiWi!$F$34</definedName>
    <definedName name="SemWiwi_551.20" localSheetId="9">KSW!$G$34</definedName>
    <definedName name="SemWiwi_551.20" localSheetId="12">M_I!$G$34</definedName>
    <definedName name="SemWiwi_551.20" localSheetId="10">PSY!$G$34</definedName>
    <definedName name="SemWiwi_551.20" localSheetId="11">ReWi!$G$34</definedName>
    <definedName name="SemWiwi_551.20">WiWi!$G$34</definedName>
    <definedName name="SemWiwi_551.30" localSheetId="9">KSW!$H$34</definedName>
    <definedName name="SemWiwi_551.30" localSheetId="12">M_I!$H$34</definedName>
    <definedName name="SemWiwi_551.30" localSheetId="10">PSY!$H$34</definedName>
    <definedName name="SemWiwi_551.30" localSheetId="11">ReWi!$H$34</definedName>
    <definedName name="SemWiwi_551.30">WiWi!$H$34</definedName>
    <definedName name="SemWiwi_551.40" localSheetId="9">KSW!$I$34</definedName>
    <definedName name="SemWiwi_551.40" localSheetId="12">M_I!$I$34</definedName>
    <definedName name="SemWiwi_551.40" localSheetId="10">PSY!$I$34</definedName>
    <definedName name="SemWiwi_551.40" localSheetId="11">ReWi!$I$34</definedName>
    <definedName name="SemWiwi_551.40">WiWi!$I$34</definedName>
    <definedName name="SemWiwi_551.50" localSheetId="9">KSW!$J$34</definedName>
    <definedName name="SemWiwi_551.50" localSheetId="12">M_I!$J$34</definedName>
    <definedName name="SemWiwi_551.50" localSheetId="10">PSY!$J$34</definedName>
    <definedName name="SemWiwi_551.50" localSheetId="11">ReWi!$J$34</definedName>
    <definedName name="SemWiwi_551.50">WiWi!$J$34</definedName>
    <definedName name="SemWiwi_551.60" localSheetId="9">KSW!$K$34</definedName>
    <definedName name="SemWiwi_551.60" localSheetId="12">M_I!$K$34</definedName>
    <definedName name="SemWiwi_551.60" localSheetId="10">PSY!$K$34</definedName>
    <definedName name="SemWiwi_551.60" localSheetId="11">ReWi!$K$34</definedName>
    <definedName name="SemWiwi_551.60">WiWi!$K$34</definedName>
    <definedName name="SozVers_Besch.">Haushalt!$D$105</definedName>
    <definedName name="SozVers_Beschäft.">Haushalt!$D$105</definedName>
    <definedName name="Steuern_Besch.">Haushalt!$D$104</definedName>
    <definedName name="Steuern_Beschäft.">Haushalt!$D$104</definedName>
    <definedName name="Wiwi_AE_var">Haushalt!$D$89</definedName>
    <definedName name="Wiwi_Bew.Ext.">Haushalt!$D$203</definedName>
    <definedName name="Wiwi_Bew.Int.">Haushalt!$D$161</definedName>
    <definedName name="Wiwi_Druck">Haushalt!$D$215</definedName>
    <definedName name="Wiwi_Ext.RK">Haushalt!$D$197</definedName>
    <definedName name="Wiwi_Hon_I">Haushalt!$D$185</definedName>
    <definedName name="Wiwi_Hon_II">Haushalt!$D$191</definedName>
    <definedName name="Wiwi_R_U_Ext.">Haushalt!$D$209</definedName>
    <definedName name="Wiwi_R_U_Int.">Haushalt!$D$149</definedName>
    <definedName name="Wiwi_RK_Int.">Haushalt!$D$137</definedName>
    <definedName name="Wiwi_Sonst.">Haushalt!$D$221</definedName>
    <definedName name="Wiwi_Sonst_Einnahmen">Haushalt!$D$52</definedName>
    <definedName name="Wiwi_TN_Beiträge_I">Haushalt!$D$38</definedName>
    <definedName name="Wiwi_TN_Beiträge_II">Haushalt!$D$45</definedName>
    <definedName name="Zuschüsse_Campus">Referatspläne!$C$143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66" l="1"/>
  <c r="A43" i="66"/>
  <c r="A44" i="66"/>
  <c r="A45" i="66"/>
  <c r="G82" i="1"/>
  <c r="Y33" i="67"/>
  <c r="G81" i="1"/>
  <c r="G80" i="1"/>
  <c r="W198" i="67"/>
  <c r="W175" i="67"/>
  <c r="U164" i="67"/>
  <c r="X154" i="67"/>
  <c r="Y129" i="67"/>
  <c r="Y106" i="67"/>
  <c r="Y105" i="67"/>
  <c r="X95" i="67"/>
  <c r="V75" i="67"/>
  <c r="U75" i="67"/>
  <c r="W75" i="67" s="1"/>
  <c r="W57" i="67"/>
  <c r="W56" i="67"/>
  <c r="W49" i="67"/>
  <c r="V40" i="67"/>
  <c r="V36" i="67"/>
  <c r="U36" i="67"/>
  <c r="W36" i="67" s="1"/>
  <c r="V33" i="67"/>
  <c r="U33" i="67"/>
  <c r="W33" i="67" s="1"/>
  <c r="T261" i="67" l="1"/>
  <c r="T263" i="67" s="1"/>
  <c r="T257" i="67"/>
  <c r="T254" i="67"/>
  <c r="T180" i="67"/>
  <c r="T55" i="67"/>
  <c r="T28" i="67"/>
  <c r="T23" i="67"/>
  <c r="T30" i="67" s="1"/>
  <c r="T264" i="67" s="1"/>
  <c r="T266" i="67" s="1"/>
  <c r="B19" i="4" l="1"/>
  <c r="A74" i="66"/>
  <c r="A75" i="66"/>
  <c r="A76" i="66"/>
  <c r="A77" i="66"/>
  <c r="A78" i="66"/>
  <c r="A79" i="66"/>
  <c r="O54" i="65"/>
  <c r="O55" i="65"/>
  <c r="O57" i="65"/>
  <c r="O58" i="65"/>
  <c r="O59" i="65"/>
  <c r="O60" i="65"/>
  <c r="O61" i="65"/>
  <c r="O62" i="65"/>
  <c r="O63" i="65"/>
  <c r="O64" i="65"/>
  <c r="O65" i="65"/>
  <c r="O56" i="65"/>
  <c r="O53" i="66"/>
  <c r="O54" i="66"/>
  <c r="O56" i="66"/>
  <c r="O57" i="66"/>
  <c r="O58" i="66"/>
  <c r="O59" i="66"/>
  <c r="O60" i="66"/>
  <c r="O61" i="66"/>
  <c r="O62" i="66"/>
  <c r="O63" i="66"/>
  <c r="O64" i="66"/>
  <c r="O55" i="66"/>
  <c r="N65" i="66"/>
  <c r="F16" i="66" s="1"/>
  <c r="A88" i="63"/>
  <c r="A89" i="63"/>
  <c r="A90" i="63"/>
  <c r="A91" i="63"/>
  <c r="A92" i="63"/>
  <c r="O64" i="63"/>
  <c r="O65" i="63"/>
  <c r="O67" i="63"/>
  <c r="O68" i="63"/>
  <c r="O69" i="63"/>
  <c r="O70" i="63"/>
  <c r="O71" i="63"/>
  <c r="O72" i="63"/>
  <c r="O73" i="63"/>
  <c r="O74" i="63"/>
  <c r="O75" i="63"/>
  <c r="O66" i="63"/>
  <c r="N76" i="63" l="1"/>
  <c r="F16" i="63" s="1"/>
  <c r="L37" i="65"/>
  <c r="N66" i="65"/>
  <c r="F16" i="65" s="1"/>
  <c r="F16" i="64"/>
  <c r="N62" i="64"/>
  <c r="E75" i="64"/>
  <c r="E73" i="64"/>
  <c r="E72" i="64"/>
  <c r="E70" i="64"/>
  <c r="E69" i="64"/>
  <c r="L41" i="64"/>
  <c r="L42" i="64"/>
  <c r="L36" i="64"/>
  <c r="G41" i="64"/>
  <c r="F41" i="64"/>
  <c r="G40" i="64"/>
  <c r="F40" i="64"/>
  <c r="L40" i="64"/>
  <c r="G39" i="64"/>
  <c r="F39" i="64"/>
  <c r="L39" i="64"/>
  <c r="G38" i="64"/>
  <c r="F38" i="64"/>
  <c r="L38" i="64"/>
  <c r="K37" i="64"/>
  <c r="G37" i="64"/>
  <c r="F37" i="64"/>
  <c r="L37" i="64"/>
  <c r="D35" i="3"/>
  <c r="D34" i="3"/>
  <c r="D33" i="3"/>
  <c r="D32" i="3"/>
  <c r="F28" i="3"/>
  <c r="E28" i="3"/>
  <c r="D28" i="3"/>
  <c r="D29" i="3" s="1"/>
  <c r="G27" i="3"/>
  <c r="G26" i="3"/>
  <c r="G25" i="3"/>
  <c r="G24" i="3"/>
  <c r="G28" i="3" l="1"/>
  <c r="D36" i="3"/>
  <c r="D38" i="3" s="1"/>
  <c r="D42" i="3" s="1"/>
  <c r="I84" i="69" l="1"/>
  <c r="A84" i="69"/>
  <c r="H83" i="69"/>
  <c r="H85" i="69" s="1"/>
  <c r="F14" i="69" s="1"/>
  <c r="A83" i="69"/>
  <c r="I82" i="69"/>
  <c r="A82" i="69"/>
  <c r="A81" i="69"/>
  <c r="I80" i="69"/>
  <c r="A80" i="69"/>
  <c r="I79" i="69"/>
  <c r="A79" i="69"/>
  <c r="I78" i="69"/>
  <c r="A78" i="69"/>
  <c r="A77" i="69"/>
  <c r="A76" i="69"/>
  <c r="I75" i="69"/>
  <c r="A75" i="69"/>
  <c r="I74" i="69"/>
  <c r="A74" i="69"/>
  <c r="I73" i="69"/>
  <c r="A73" i="69"/>
  <c r="I72" i="69"/>
  <c r="A72" i="69"/>
  <c r="I71" i="69"/>
  <c r="A71" i="69"/>
  <c r="I70" i="69"/>
  <c r="A70" i="69"/>
  <c r="I69" i="69"/>
  <c r="A69" i="69"/>
  <c r="I68" i="69"/>
  <c r="A68" i="69"/>
  <c r="N62" i="69"/>
  <c r="F16" i="69" s="1"/>
  <c r="M62" i="69"/>
  <c r="L62" i="69"/>
  <c r="F21" i="69" s="1"/>
  <c r="K62" i="69"/>
  <c r="F20" i="69" s="1"/>
  <c r="J62" i="69"/>
  <c r="I62" i="69"/>
  <c r="H62" i="69"/>
  <c r="G62" i="69"/>
  <c r="G83" i="69" s="1"/>
  <c r="G85" i="69" s="1"/>
  <c r="F13" i="69" s="1"/>
  <c r="F62" i="69"/>
  <c r="F83" i="69" s="1"/>
  <c r="F85" i="69" s="1"/>
  <c r="F12" i="69" s="1"/>
  <c r="E62" i="69"/>
  <c r="E83" i="69" s="1"/>
  <c r="D62" i="69"/>
  <c r="C62" i="69"/>
  <c r="O61" i="69"/>
  <c r="A61" i="69"/>
  <c r="O60" i="69"/>
  <c r="A60" i="69"/>
  <c r="O59" i="69"/>
  <c r="A59" i="69"/>
  <c r="O58" i="69"/>
  <c r="A58" i="69"/>
  <c r="O57" i="69"/>
  <c r="A57" i="69"/>
  <c r="O56" i="69"/>
  <c r="A56" i="69"/>
  <c r="O55" i="69"/>
  <c r="A55" i="69"/>
  <c r="O54" i="69"/>
  <c r="A54" i="69"/>
  <c r="O53" i="69"/>
  <c r="A53" i="69"/>
  <c r="O52" i="69"/>
  <c r="A52" i="69"/>
  <c r="O51" i="69"/>
  <c r="A51" i="69"/>
  <c r="K45" i="69"/>
  <c r="J45" i="69"/>
  <c r="F19" i="69" s="1"/>
  <c r="H45" i="69"/>
  <c r="F17" i="69" s="1"/>
  <c r="F45" i="69"/>
  <c r="F15" i="69" s="1"/>
  <c r="E45" i="69"/>
  <c r="D45" i="69"/>
  <c r="C45" i="69"/>
  <c r="L44" i="69"/>
  <c r="L43" i="69"/>
  <c r="A43" i="69"/>
  <c r="L42" i="69"/>
  <c r="A42" i="69"/>
  <c r="L41" i="69"/>
  <c r="A41" i="69"/>
  <c r="L40" i="69"/>
  <c r="A40" i="69"/>
  <c r="L39" i="69"/>
  <c r="A39" i="69"/>
  <c r="L38" i="69"/>
  <c r="A38" i="69"/>
  <c r="I37" i="69"/>
  <c r="I45" i="69" s="1"/>
  <c r="F18" i="69" s="1"/>
  <c r="G37" i="69"/>
  <c r="L37" i="69" s="1"/>
  <c r="A37" i="69"/>
  <c r="L36" i="69"/>
  <c r="A36" i="69"/>
  <c r="E23" i="69"/>
  <c r="F22" i="69"/>
  <c r="G17" i="69"/>
  <c r="G16" i="69"/>
  <c r="G15" i="69"/>
  <c r="G10" i="69"/>
  <c r="G23" i="69" s="1"/>
  <c r="G25" i="69" s="1"/>
  <c r="F10" i="69"/>
  <c r="G8" i="69"/>
  <c r="E8" i="69"/>
  <c r="F7" i="69"/>
  <c r="F6" i="69"/>
  <c r="F8" i="69" s="1"/>
  <c r="F5" i="69"/>
  <c r="A36" i="65"/>
  <c r="A37" i="65"/>
  <c r="A44" i="65"/>
  <c r="L44" i="65"/>
  <c r="A37" i="64"/>
  <c r="A38" i="64"/>
  <c r="A39" i="64"/>
  <c r="A40" i="64"/>
  <c r="A41" i="64"/>
  <c r="A42" i="64"/>
  <c r="E9" i="1"/>
  <c r="E8" i="1"/>
  <c r="G45" i="69" l="1"/>
  <c r="E25" i="69"/>
  <c r="L45" i="69"/>
  <c r="O62" i="69"/>
  <c r="I85" i="69"/>
  <c r="E85" i="69"/>
  <c r="F11" i="69" s="1"/>
  <c r="F23" i="69" s="1"/>
  <c r="F25" i="69" s="1"/>
  <c r="I83" i="69"/>
  <c r="G40" i="1" l="1"/>
  <c r="G39" i="1"/>
  <c r="G38" i="1"/>
  <c r="G33" i="1"/>
  <c r="F274" i="1"/>
  <c r="F269" i="1"/>
  <c r="E274" i="1"/>
  <c r="E261" i="1"/>
  <c r="G238" i="1" l="1"/>
  <c r="G245" i="1"/>
  <c r="G246" i="1"/>
  <c r="G247" i="1"/>
  <c r="G244" i="1"/>
  <c r="G242" i="1"/>
  <c r="G243" i="1"/>
  <c r="G241" i="1"/>
  <c r="G240" i="1"/>
  <c r="G239" i="1"/>
  <c r="F254" i="67"/>
  <c r="F180" i="67"/>
  <c r="F263" i="67" s="1"/>
  <c r="F55" i="67"/>
  <c r="G2" i="2"/>
  <c r="G291" i="67"/>
  <c r="F291" i="67"/>
  <c r="D291" i="67"/>
  <c r="C291" i="67"/>
  <c r="G288" i="67"/>
  <c r="G289" i="67" s="1"/>
  <c r="F288" i="67"/>
  <c r="D288" i="67"/>
  <c r="C288" i="67"/>
  <c r="T274" i="67"/>
  <c r="S274" i="67"/>
  <c r="R274" i="67"/>
  <c r="Q274" i="67"/>
  <c r="P274" i="67"/>
  <c r="O274" i="67"/>
  <c r="N274" i="67"/>
  <c r="M274" i="67"/>
  <c r="L274" i="67"/>
  <c r="K274" i="67"/>
  <c r="J274" i="67"/>
  <c r="I274" i="67"/>
  <c r="H274" i="67"/>
  <c r="G274" i="67"/>
  <c r="E274" i="67"/>
  <c r="S261" i="67"/>
  <c r="R261" i="67"/>
  <c r="Q261" i="67"/>
  <c r="P261" i="67"/>
  <c r="O261" i="67"/>
  <c r="N261" i="67"/>
  <c r="M261" i="67"/>
  <c r="L261" i="67"/>
  <c r="K261" i="67"/>
  <c r="J261" i="67"/>
  <c r="I261" i="67"/>
  <c r="H261" i="67"/>
  <c r="G261" i="67"/>
  <c r="F261" i="67"/>
  <c r="E261" i="67"/>
  <c r="D261" i="67"/>
  <c r="C261" i="67"/>
  <c r="S257" i="67"/>
  <c r="R257" i="67"/>
  <c r="Q257" i="67"/>
  <c r="P257" i="67"/>
  <c r="O257" i="67"/>
  <c r="N257" i="67"/>
  <c r="M257" i="67"/>
  <c r="L257" i="67"/>
  <c r="K257" i="67"/>
  <c r="J257" i="67"/>
  <c r="I257" i="67"/>
  <c r="H257" i="67"/>
  <c r="G257" i="67"/>
  <c r="F257" i="67"/>
  <c r="E257" i="67"/>
  <c r="D257" i="67"/>
  <c r="C257" i="67"/>
  <c r="S254" i="67"/>
  <c r="R254" i="67"/>
  <c r="Q254" i="67"/>
  <c r="P254" i="67"/>
  <c r="O254" i="67"/>
  <c r="N254" i="67"/>
  <c r="M254" i="67"/>
  <c r="L254" i="67"/>
  <c r="K254" i="67"/>
  <c r="J254" i="67"/>
  <c r="I254" i="67"/>
  <c r="H254" i="67"/>
  <c r="G254" i="67"/>
  <c r="E254" i="67"/>
  <c r="D254" i="67"/>
  <c r="C254" i="67"/>
  <c r="S180" i="67"/>
  <c r="R180" i="67"/>
  <c r="Q180" i="67"/>
  <c r="P180" i="67"/>
  <c r="O180" i="67"/>
  <c r="N180" i="67"/>
  <c r="N263" i="67" s="1"/>
  <c r="M180" i="67"/>
  <c r="M263" i="67" s="1"/>
  <c r="L180" i="67"/>
  <c r="K180" i="67"/>
  <c r="K263" i="67" s="1"/>
  <c r="J180" i="67"/>
  <c r="I180" i="67"/>
  <c r="H180" i="67"/>
  <c r="G180" i="67"/>
  <c r="E180" i="67"/>
  <c r="D180" i="67"/>
  <c r="C180" i="67"/>
  <c r="S55" i="67"/>
  <c r="S263" i="67" s="1"/>
  <c r="R55" i="67"/>
  <c r="Q55" i="67"/>
  <c r="P55" i="67"/>
  <c r="O55" i="67"/>
  <c r="N55" i="67"/>
  <c r="M55" i="67"/>
  <c r="L55" i="67"/>
  <c r="L263" i="67" s="1"/>
  <c r="K55" i="67"/>
  <c r="J55" i="67"/>
  <c r="I55" i="67"/>
  <c r="I263" i="67" s="1"/>
  <c r="H55" i="67"/>
  <c r="H263" i="67" s="1"/>
  <c r="G55" i="67"/>
  <c r="G263" i="67" s="1"/>
  <c r="E55" i="67"/>
  <c r="D55" i="67"/>
  <c r="C55" i="67"/>
  <c r="S28" i="67"/>
  <c r="R28" i="67"/>
  <c r="Q28" i="67"/>
  <c r="P28" i="67"/>
  <c r="O28" i="67"/>
  <c r="N28" i="67"/>
  <c r="M28" i="67"/>
  <c r="L28" i="67"/>
  <c r="K28" i="67"/>
  <c r="J28" i="67"/>
  <c r="I28" i="67"/>
  <c r="H28" i="67"/>
  <c r="G28" i="67"/>
  <c r="F28" i="67"/>
  <c r="E28" i="67"/>
  <c r="D28" i="67"/>
  <c r="C28" i="67"/>
  <c r="S23" i="67"/>
  <c r="S30" i="67" s="1"/>
  <c r="S264" i="67" s="1"/>
  <c r="R23" i="67"/>
  <c r="Q23" i="67"/>
  <c r="Q30" i="67" s="1"/>
  <c r="Q264" i="67" s="1"/>
  <c r="P23" i="67"/>
  <c r="O23" i="67"/>
  <c r="N23" i="67"/>
  <c r="M23" i="67"/>
  <c r="L23" i="67"/>
  <c r="K23" i="67"/>
  <c r="J23" i="67"/>
  <c r="J30" i="67" s="1"/>
  <c r="J264" i="67" s="1"/>
  <c r="I23" i="67"/>
  <c r="I30" i="67" s="1"/>
  <c r="I264" i="67" s="1"/>
  <c r="I266" i="67" s="1"/>
  <c r="I277" i="67" s="1"/>
  <c r="I281" i="67" s="1"/>
  <c r="H23" i="67"/>
  <c r="H30" i="67" s="1"/>
  <c r="H264" i="67" s="1"/>
  <c r="G23" i="67"/>
  <c r="G30" i="67" s="1"/>
  <c r="G264" i="67" s="1"/>
  <c r="F23" i="67"/>
  <c r="E23" i="67"/>
  <c r="E30" i="67" s="1"/>
  <c r="E264" i="67" s="1"/>
  <c r="D23" i="67"/>
  <c r="C23" i="67"/>
  <c r="F81" i="1" l="1"/>
  <c r="M30" i="67"/>
  <c r="M264" i="67" s="1"/>
  <c r="K30" i="67"/>
  <c r="K264" i="67" s="1"/>
  <c r="D263" i="67"/>
  <c r="P263" i="67"/>
  <c r="G293" i="67"/>
  <c r="E263" i="67"/>
  <c r="E266" i="67" s="1"/>
  <c r="E277" i="67" s="1"/>
  <c r="E281" i="67" s="1"/>
  <c r="Q263" i="67"/>
  <c r="Q266" i="67" s="1"/>
  <c r="Q277" i="67" s="1"/>
  <c r="Q281" i="67" s="1"/>
  <c r="F30" i="67"/>
  <c r="F264" i="67" s="1"/>
  <c r="R30" i="67"/>
  <c r="R264" i="67" s="1"/>
  <c r="R263" i="67"/>
  <c r="F80" i="1"/>
  <c r="F79" i="1" s="1"/>
  <c r="J263" i="67"/>
  <c r="J266" i="67" s="1"/>
  <c r="J277" i="67" s="1"/>
  <c r="J281" i="67" s="1"/>
  <c r="M266" i="67"/>
  <c r="M277" i="67" s="1"/>
  <c r="M281" i="67" s="1"/>
  <c r="L30" i="67"/>
  <c r="L264" i="67" s="1"/>
  <c r="L266" i="67" s="1"/>
  <c r="L277" i="67" s="1"/>
  <c r="L281" i="67" s="1"/>
  <c r="C30" i="67"/>
  <c r="C264" i="67" s="1"/>
  <c r="O30" i="67"/>
  <c r="O264" i="67" s="1"/>
  <c r="N30" i="67"/>
  <c r="N264" i="67" s="1"/>
  <c r="N266" i="67" s="1"/>
  <c r="N277" i="67" s="1"/>
  <c r="N281" i="67" s="1"/>
  <c r="D30" i="67"/>
  <c r="D264" i="67" s="1"/>
  <c r="D266" i="67" s="1"/>
  <c r="D277" i="67" s="1"/>
  <c r="D281" i="67" s="1"/>
  <c r="P30" i="67"/>
  <c r="P264" i="67" s="1"/>
  <c r="C263" i="67"/>
  <c r="O263" i="67"/>
  <c r="G266" i="67"/>
  <c r="G277" i="67" s="1"/>
  <c r="G281" i="67" s="1"/>
  <c r="S266" i="67"/>
  <c r="S277" i="67" s="1"/>
  <c r="S281" i="67" s="1"/>
  <c r="K266" i="67"/>
  <c r="K277" i="67" s="1"/>
  <c r="K281" i="67" s="1"/>
  <c r="H266" i="67"/>
  <c r="H277" i="67" s="1"/>
  <c r="H281" i="67" s="1"/>
  <c r="T277" i="67"/>
  <c r="T281" i="67" s="1"/>
  <c r="E168" i="1"/>
  <c r="E141" i="1"/>
  <c r="R266" i="67" l="1"/>
  <c r="R277" i="67" s="1"/>
  <c r="R281" i="67" s="1"/>
  <c r="F266" i="67"/>
  <c r="F277" i="67" s="1"/>
  <c r="F281" i="67" s="1"/>
  <c r="F270" i="67" s="1"/>
  <c r="F274" i="67" s="1"/>
  <c r="F286" i="67" s="1"/>
  <c r="F289" i="67" s="1"/>
  <c r="F293" i="67" s="1"/>
  <c r="P266" i="67"/>
  <c r="P277" i="67" s="1"/>
  <c r="P281" i="67" s="1"/>
  <c r="O266" i="67"/>
  <c r="O277" i="67" s="1"/>
  <c r="O281" i="67" s="1"/>
  <c r="C266" i="67"/>
  <c r="C277" i="67" s="1"/>
  <c r="C281" i="67" s="1"/>
  <c r="C270" i="67" s="1"/>
  <c r="C274" i="67" s="1"/>
  <c r="C286" i="67" s="1"/>
  <c r="C289" i="67" s="1"/>
  <c r="C293" i="67" s="1"/>
  <c r="D286" i="67"/>
  <c r="D289" i="67" s="1"/>
  <c r="D293" i="67" s="1"/>
  <c r="D270" i="67"/>
  <c r="D274" i="67" s="1"/>
  <c r="M117" i="2"/>
  <c r="M118" i="2"/>
  <c r="M119" i="2"/>
  <c r="M120" i="2"/>
  <c r="M116" i="2"/>
  <c r="M109" i="2"/>
  <c r="M110" i="2"/>
  <c r="M111" i="2"/>
  <c r="M112" i="2"/>
  <c r="M108" i="2"/>
  <c r="M101" i="2"/>
  <c r="M102" i="2"/>
  <c r="M103" i="2"/>
  <c r="M104" i="2"/>
  <c r="M100" i="2"/>
  <c r="M93" i="2"/>
  <c r="M94" i="2"/>
  <c r="M95" i="2"/>
  <c r="M96" i="2"/>
  <c r="M92" i="2"/>
  <c r="M85" i="2"/>
  <c r="M86" i="2"/>
  <c r="M87" i="2"/>
  <c r="M88" i="2"/>
  <c r="M54" i="2"/>
  <c r="M55" i="2"/>
  <c r="M56" i="2"/>
  <c r="M52" i="2"/>
  <c r="M53" i="2"/>
  <c r="M46" i="2"/>
  <c r="M47" i="2"/>
  <c r="M48" i="2"/>
  <c r="M44" i="2"/>
  <c r="M26" i="2"/>
  <c r="M27" i="2"/>
  <c r="M28" i="2"/>
  <c r="M29" i="2"/>
  <c r="M30" i="2"/>
  <c r="M31" i="2"/>
  <c r="M32" i="2"/>
  <c r="M33" i="2"/>
  <c r="M34" i="2"/>
  <c r="M35" i="2"/>
  <c r="M36" i="2"/>
  <c r="M37" i="2"/>
  <c r="M38" i="2"/>
  <c r="M39" i="2"/>
  <c r="M40" i="2"/>
  <c r="M25" i="2"/>
  <c r="M18" i="2"/>
  <c r="M19" i="2"/>
  <c r="M20" i="2"/>
  <c r="M21" i="2"/>
  <c r="M17" i="2"/>
  <c r="M10" i="2"/>
  <c r="M11" i="2"/>
  <c r="M12" i="2"/>
  <c r="M13" i="2"/>
  <c r="M9" i="2"/>
  <c r="M77" i="2"/>
  <c r="M78" i="2"/>
  <c r="M79" i="2"/>
  <c r="M80" i="2"/>
  <c r="M76" i="2"/>
  <c r="M84" i="2"/>
  <c r="M69" i="2"/>
  <c r="M70" i="2"/>
  <c r="M71" i="2"/>
  <c r="M72" i="2"/>
  <c r="M68" i="2"/>
  <c r="R70" i="2"/>
  <c r="R69" i="2"/>
  <c r="F251" i="1" l="1"/>
  <c r="E109" i="1"/>
  <c r="L37" i="63" l="1"/>
  <c r="L38" i="63"/>
  <c r="L39" i="63"/>
  <c r="L40" i="63"/>
  <c r="L41" i="63"/>
  <c r="L42" i="63"/>
  <c r="L43" i="63"/>
  <c r="L44" i="63"/>
  <c r="L45" i="63"/>
  <c r="L46" i="63"/>
  <c r="L47" i="63"/>
  <c r="L48" i="63"/>
  <c r="L49" i="63"/>
  <c r="L50" i="63"/>
  <c r="L51" i="63"/>
  <c r="L52" i="63"/>
  <c r="L53" i="63"/>
  <c r="L54" i="63"/>
  <c r="L55" i="63"/>
  <c r="L56" i="63"/>
  <c r="L36" i="63"/>
  <c r="I83" i="63"/>
  <c r="I84" i="63"/>
  <c r="I85" i="63"/>
  <c r="I86" i="63"/>
  <c r="I87" i="63"/>
  <c r="I88" i="63"/>
  <c r="I89" i="63"/>
  <c r="I90" i="63"/>
  <c r="L37" i="66" l="1"/>
  <c r="L38" i="66"/>
  <c r="L39" i="66"/>
  <c r="L40" i="66"/>
  <c r="L41" i="66"/>
  <c r="L42" i="66"/>
  <c r="L43" i="66"/>
  <c r="L44" i="66"/>
  <c r="L45" i="66"/>
  <c r="L36" i="66"/>
  <c r="A45" i="65" l="1"/>
  <c r="A46" i="65"/>
  <c r="L39" i="65"/>
  <c r="L40" i="65"/>
  <c r="L41" i="65"/>
  <c r="L42" i="65"/>
  <c r="L43" i="65"/>
  <c r="L45" i="65"/>
  <c r="L46" i="65"/>
  <c r="L38" i="65"/>
  <c r="I76" i="65"/>
  <c r="I77" i="65"/>
  <c r="F309" i="1"/>
  <c r="F308" i="1"/>
  <c r="F307" i="1"/>
  <c r="F293" i="1"/>
  <c r="F302" i="1"/>
  <c r="F310" i="1" l="1"/>
  <c r="F18" i="1"/>
  <c r="E238" i="1" l="1"/>
  <c r="F238" i="1"/>
  <c r="I72" i="64"/>
  <c r="I73" i="64"/>
  <c r="I74" i="64"/>
  <c r="I75" i="64"/>
  <c r="A71" i="63" l="1"/>
  <c r="A72" i="63"/>
  <c r="A73" i="63"/>
  <c r="A74" i="63"/>
  <c r="A75" i="63"/>
  <c r="A46" i="63"/>
  <c r="A47" i="63"/>
  <c r="A48" i="63"/>
  <c r="A49" i="63"/>
  <c r="A50" i="63"/>
  <c r="A51" i="63"/>
  <c r="A52" i="63"/>
  <c r="A53" i="63"/>
  <c r="A54" i="63"/>
  <c r="A55" i="63"/>
  <c r="A56" i="63"/>
  <c r="D14" i="49" l="1"/>
  <c r="K2" i="2"/>
  <c r="I2" i="2"/>
  <c r="E2" i="2"/>
  <c r="C2" i="2"/>
  <c r="B2" i="2"/>
  <c r="F2" i="2"/>
  <c r="D2" i="2"/>
  <c r="H2" i="2"/>
  <c r="D27" i="49" l="1"/>
  <c r="H20" i="49"/>
  <c r="E229" i="1"/>
  <c r="E235" i="1"/>
  <c r="G17" i="65" l="1"/>
  <c r="G15" i="65"/>
  <c r="G16" i="65"/>
  <c r="M45" i="2" l="1"/>
  <c r="B236" i="1"/>
  <c r="B14" i="1"/>
  <c r="L121" i="2" l="1"/>
  <c r="L113" i="2"/>
  <c r="L105" i="2"/>
  <c r="L97" i="2"/>
  <c r="L89" i="2"/>
  <c r="L81" i="2"/>
  <c r="L73" i="2"/>
  <c r="L65" i="2"/>
  <c r="L57" i="2"/>
  <c r="L49" i="2"/>
  <c r="L41" i="2"/>
  <c r="L22" i="2"/>
  <c r="L14" i="2"/>
  <c r="F141" i="1"/>
  <c r="L125" i="2" l="1"/>
  <c r="L3" i="2" s="1"/>
  <c r="D32" i="62" s="1"/>
  <c r="D34" i="62" s="1"/>
  <c r="E231" i="1" s="1"/>
  <c r="E228" i="1" s="1"/>
  <c r="F168" i="1"/>
  <c r="F109" i="1"/>
  <c r="E100" i="1"/>
  <c r="E99" i="1"/>
  <c r="E98" i="1"/>
  <c r="E97" i="1"/>
  <c r="J5" i="3"/>
  <c r="H5" i="3"/>
  <c r="I4" i="3"/>
  <c r="I5" i="3" s="1"/>
  <c r="D50" i="3"/>
  <c r="E105" i="1"/>
  <c r="E104" i="1"/>
  <c r="E103" i="1"/>
  <c r="E84" i="1"/>
  <c r="F84" i="1"/>
  <c r="H7" i="49"/>
  <c r="H5" i="49"/>
  <c r="H4" i="49"/>
  <c r="R2" i="2"/>
  <c r="Q2" i="2"/>
  <c r="P2" i="2"/>
  <c r="O2" i="2"/>
  <c r="N2" i="2"/>
  <c r="J2" i="2"/>
  <c r="D23" i="62"/>
  <c r="D37" i="4"/>
  <c r="B37" i="4"/>
  <c r="E267" i="1" s="1"/>
  <c r="E265" i="1" s="1"/>
  <c r="D28" i="4"/>
  <c r="B28" i="4"/>
  <c r="E130" i="1" s="1"/>
  <c r="D19" i="4"/>
  <c r="E129" i="1"/>
  <c r="D10" i="4"/>
  <c r="B10" i="4"/>
  <c r="E128" i="1" s="1"/>
  <c r="E127" i="1" s="1"/>
  <c r="E38" i="1"/>
  <c r="E41" i="1"/>
  <c r="E40" i="1"/>
  <c r="E39" i="1"/>
  <c r="E42" i="1"/>
  <c r="E49" i="1"/>
  <c r="E48" i="1"/>
  <c r="E47" i="1"/>
  <c r="E46" i="1"/>
  <c r="E45" i="1"/>
  <c r="E55" i="1"/>
  <c r="E54" i="1"/>
  <c r="E53" i="1"/>
  <c r="E52" i="1"/>
  <c r="E56" i="1"/>
  <c r="E93" i="1"/>
  <c r="E92" i="1"/>
  <c r="E91" i="1"/>
  <c r="E90" i="1"/>
  <c r="E89" i="1"/>
  <c r="E140" i="1"/>
  <c r="E139" i="1"/>
  <c r="E138" i="1"/>
  <c r="E137" i="1"/>
  <c r="E153" i="1"/>
  <c r="E152" i="1"/>
  <c r="E151" i="1"/>
  <c r="E150" i="1"/>
  <c r="E149" i="1"/>
  <c r="E165" i="1"/>
  <c r="E164" i="1"/>
  <c r="E163" i="1"/>
  <c r="E162" i="1"/>
  <c r="E161" i="1"/>
  <c r="E225" i="1"/>
  <c r="E224" i="1"/>
  <c r="E223" i="1"/>
  <c r="E222" i="1"/>
  <c r="E221" i="1"/>
  <c r="E219" i="1"/>
  <c r="E218" i="1"/>
  <c r="E217" i="1"/>
  <c r="E216" i="1"/>
  <c r="E215" i="1"/>
  <c r="E213" i="1"/>
  <c r="E212" i="1"/>
  <c r="E211" i="1"/>
  <c r="E210" i="1"/>
  <c r="E209" i="1"/>
  <c r="E207" i="1"/>
  <c r="E206" i="1"/>
  <c r="E205" i="1"/>
  <c r="E204" i="1"/>
  <c r="E203" i="1"/>
  <c r="E201" i="1"/>
  <c r="E200" i="1"/>
  <c r="E199" i="1"/>
  <c r="E198" i="1"/>
  <c r="E197" i="1"/>
  <c r="E195" i="1"/>
  <c r="E194" i="1"/>
  <c r="E193" i="1"/>
  <c r="E192" i="1"/>
  <c r="E191" i="1"/>
  <c r="E189" i="1"/>
  <c r="E188" i="1"/>
  <c r="E187" i="1"/>
  <c r="E186" i="1"/>
  <c r="E185" i="1"/>
  <c r="E23" i="66"/>
  <c r="E8" i="66"/>
  <c r="F10" i="66"/>
  <c r="E8" i="65"/>
  <c r="E23" i="65"/>
  <c r="F10" i="65"/>
  <c r="E8" i="63"/>
  <c r="E8" i="64"/>
  <c r="E23" i="64"/>
  <c r="F10" i="64"/>
  <c r="E23" i="63"/>
  <c r="F10" i="63"/>
  <c r="E7" i="1"/>
  <c r="E11" i="1"/>
  <c r="E27" i="1"/>
  <c r="E32" i="1"/>
  <c r="E61" i="1"/>
  <c r="E66" i="1"/>
  <c r="E70" i="1"/>
  <c r="E87" i="1"/>
  <c r="E269" i="1"/>
  <c r="E270" i="1"/>
  <c r="E275" i="1"/>
  <c r="B6" i="1"/>
  <c r="B7" i="1"/>
  <c r="B8" i="1"/>
  <c r="B9" i="1"/>
  <c r="B10" i="1"/>
  <c r="B11" i="1"/>
  <c r="B12" i="1"/>
  <c r="B13"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E136" i="1" l="1"/>
  <c r="E96" i="1"/>
  <c r="E160" i="1"/>
  <c r="E184" i="1"/>
  <c r="E148" i="1"/>
  <c r="E25" i="66"/>
  <c r="I6" i="49"/>
  <c r="E80" i="1"/>
  <c r="E25" i="64"/>
  <c r="E25" i="65"/>
  <c r="E60" i="1"/>
  <c r="E106" i="1"/>
  <c r="E102" i="1" s="1"/>
  <c r="M2" i="2"/>
  <c r="E25" i="63"/>
  <c r="E51" i="1"/>
  <c r="E37" i="1"/>
  <c r="E44" i="1"/>
  <c r="E88" i="1"/>
  <c r="E190" i="1"/>
  <c r="E86" i="1"/>
  <c r="E196" i="1"/>
  <c r="E220" i="1"/>
  <c r="E208" i="1"/>
  <c r="E202" i="1"/>
  <c r="E214" i="1"/>
  <c r="E78" i="1" l="1"/>
  <c r="E183" i="1"/>
  <c r="E36" i="1"/>
  <c r="I38" i="4" l="1"/>
  <c r="G38" i="4"/>
  <c r="A72" i="66"/>
  <c r="A73" i="66"/>
  <c r="A54" i="66"/>
  <c r="A55" i="66"/>
  <c r="A56" i="66"/>
  <c r="A57" i="66"/>
  <c r="A58" i="66"/>
  <c r="A59" i="66"/>
  <c r="A60" i="66"/>
  <c r="A61" i="66"/>
  <c r="A62" i="66"/>
  <c r="A63" i="66"/>
  <c r="A64" i="66"/>
  <c r="A37" i="66"/>
  <c r="A38" i="66"/>
  <c r="A39" i="66"/>
  <c r="A40" i="66"/>
  <c r="A41" i="66"/>
  <c r="A39" i="65"/>
  <c r="A40" i="65"/>
  <c r="A41" i="65"/>
  <c r="A42" i="65"/>
  <c r="A43" i="65"/>
  <c r="A55" i="65"/>
  <c r="A56" i="65"/>
  <c r="A57" i="65"/>
  <c r="A58" i="65"/>
  <c r="A59" i="65"/>
  <c r="A60" i="65"/>
  <c r="A61" i="65"/>
  <c r="A62" i="65"/>
  <c r="A63" i="65"/>
  <c r="A64" i="65"/>
  <c r="A65" i="65"/>
  <c r="A73" i="65"/>
  <c r="A74" i="65"/>
  <c r="A75" i="65"/>
  <c r="A76" i="65"/>
  <c r="A77" i="65"/>
  <c r="A78" i="65"/>
  <c r="A79" i="65"/>
  <c r="A80" i="65"/>
  <c r="A81" i="65"/>
  <c r="A82" i="65"/>
  <c r="A83" i="65"/>
  <c r="A84" i="65"/>
  <c r="A85" i="65"/>
  <c r="A86" i="65"/>
  <c r="A87" i="65"/>
  <c r="A88" i="65"/>
  <c r="A69" i="64"/>
  <c r="A70" i="64"/>
  <c r="A71" i="64"/>
  <c r="A72" i="64"/>
  <c r="A73" i="64"/>
  <c r="A74" i="64"/>
  <c r="A75" i="64"/>
  <c r="A76" i="64"/>
  <c r="A77" i="64"/>
  <c r="A78" i="64"/>
  <c r="A79" i="64"/>
  <c r="A80" i="64"/>
  <c r="A81" i="64"/>
  <c r="A82" i="64"/>
  <c r="A83" i="64"/>
  <c r="A84" i="64"/>
  <c r="A51" i="64"/>
  <c r="A52" i="64"/>
  <c r="A53" i="64"/>
  <c r="A54" i="64"/>
  <c r="A55" i="64"/>
  <c r="A56" i="64"/>
  <c r="A57" i="64"/>
  <c r="A58" i="64"/>
  <c r="A59" i="64"/>
  <c r="A60" i="64"/>
  <c r="A61" i="64"/>
  <c r="A45" i="63"/>
  <c r="G8" i="64"/>
  <c r="G10" i="64"/>
  <c r="G23" i="64" s="1"/>
  <c r="A36" i="64"/>
  <c r="C44" i="64"/>
  <c r="F5" i="64" s="1"/>
  <c r="D44" i="64"/>
  <c r="E44" i="64"/>
  <c r="F44" i="64"/>
  <c r="F15" i="64" s="1"/>
  <c r="G44" i="64"/>
  <c r="H44" i="64"/>
  <c r="F17" i="64" s="1"/>
  <c r="I44" i="64"/>
  <c r="J44" i="64"/>
  <c r="K44" i="64"/>
  <c r="A50" i="64"/>
  <c r="O50" i="64"/>
  <c r="O51" i="64"/>
  <c r="O52" i="64"/>
  <c r="C62" i="64"/>
  <c r="D62" i="64"/>
  <c r="E62" i="64"/>
  <c r="E83" i="64" s="1"/>
  <c r="E85" i="64" s="1"/>
  <c r="F11" i="64" s="1"/>
  <c r="F62" i="64"/>
  <c r="F83" i="64" s="1"/>
  <c r="F85" i="64" s="1"/>
  <c r="F12" i="64" s="1"/>
  <c r="G62" i="64"/>
  <c r="G83" i="64" s="1"/>
  <c r="G85" i="64" s="1"/>
  <c r="F13" i="64" s="1"/>
  <c r="H62" i="64"/>
  <c r="H83" i="64" s="1"/>
  <c r="H85" i="64" s="1"/>
  <c r="F14" i="64" s="1"/>
  <c r="I62" i="64"/>
  <c r="J62" i="64"/>
  <c r="K62" i="64"/>
  <c r="L62" i="64"/>
  <c r="F21" i="64" s="1"/>
  <c r="M62" i="64"/>
  <c r="F22" i="64" s="1"/>
  <c r="A68" i="64"/>
  <c r="I68" i="64"/>
  <c r="I69" i="64"/>
  <c r="I70" i="64"/>
  <c r="I71" i="64"/>
  <c r="I81" i="64"/>
  <c r="I82" i="64"/>
  <c r="I84" i="64"/>
  <c r="A65" i="63"/>
  <c r="A66" i="63"/>
  <c r="A67" i="63"/>
  <c r="A68" i="63"/>
  <c r="A69" i="63"/>
  <c r="A70" i="63"/>
  <c r="A83" i="63"/>
  <c r="A84" i="63"/>
  <c r="A85" i="63"/>
  <c r="A86" i="63"/>
  <c r="A87" i="63"/>
  <c r="A37" i="63"/>
  <c r="A38" i="63"/>
  <c r="A39" i="63"/>
  <c r="A40" i="63"/>
  <c r="A41" i="63"/>
  <c r="A42" i="63"/>
  <c r="A43" i="63"/>
  <c r="A44" i="63"/>
  <c r="G70" i="1"/>
  <c r="H70" i="1"/>
  <c r="I70" i="1"/>
  <c r="J70" i="1"/>
  <c r="G66" i="1"/>
  <c r="H66" i="1"/>
  <c r="I66" i="1"/>
  <c r="J66" i="1"/>
  <c r="G61" i="1"/>
  <c r="H61" i="1"/>
  <c r="I61" i="1"/>
  <c r="J61" i="1"/>
  <c r="G51" i="1"/>
  <c r="H51" i="1"/>
  <c r="I51" i="1"/>
  <c r="J51" i="1"/>
  <c r="G44" i="1"/>
  <c r="H44" i="1"/>
  <c r="I44" i="1"/>
  <c r="J44" i="1"/>
  <c r="G37" i="1"/>
  <c r="H37" i="1"/>
  <c r="I37" i="1"/>
  <c r="J37" i="1"/>
  <c r="G32" i="1"/>
  <c r="H32" i="1"/>
  <c r="I32" i="1"/>
  <c r="J32" i="1"/>
  <c r="G27" i="1"/>
  <c r="H27" i="1"/>
  <c r="I27" i="1"/>
  <c r="J27" i="1"/>
  <c r="G23" i="1"/>
  <c r="H23" i="1"/>
  <c r="I23" i="1"/>
  <c r="J23" i="1"/>
  <c r="G18" i="1"/>
  <c r="H18" i="1"/>
  <c r="I18" i="1"/>
  <c r="J18" i="1"/>
  <c r="G11" i="1"/>
  <c r="H11" i="1"/>
  <c r="I11" i="1"/>
  <c r="J11" i="1"/>
  <c r="G7" i="1"/>
  <c r="H7" i="1"/>
  <c r="I7" i="1"/>
  <c r="J7" i="1"/>
  <c r="F7" i="64" l="1"/>
  <c r="F20" i="64"/>
  <c r="G6" i="1"/>
  <c r="H6" i="1"/>
  <c r="I6" i="1"/>
  <c r="J6" i="1"/>
  <c r="F19" i="64"/>
  <c r="F18" i="64"/>
  <c r="F6" i="64"/>
  <c r="F8" i="64" s="1"/>
  <c r="G25" i="64"/>
  <c r="O62" i="64"/>
  <c r="L44" i="64"/>
  <c r="I83" i="64"/>
  <c r="I85" i="64" s="1"/>
  <c r="J60" i="1"/>
  <c r="H60" i="1"/>
  <c r="I60" i="1"/>
  <c r="G60" i="1"/>
  <c r="G36" i="1"/>
  <c r="J36" i="1"/>
  <c r="I36" i="1"/>
  <c r="H36" i="1"/>
  <c r="F23" i="64" l="1"/>
  <c r="F25" i="64" s="1"/>
  <c r="R123" i="2"/>
  <c r="R117" i="2"/>
  <c r="R118" i="2"/>
  <c r="R119" i="2"/>
  <c r="R120" i="2"/>
  <c r="R116" i="2"/>
  <c r="R109" i="2"/>
  <c r="R110" i="2"/>
  <c r="R111" i="2"/>
  <c r="R112" i="2"/>
  <c r="R108" i="2"/>
  <c r="R101" i="2"/>
  <c r="R102" i="2"/>
  <c r="R103" i="2"/>
  <c r="R104" i="2"/>
  <c r="R100" i="2"/>
  <c r="R93" i="2"/>
  <c r="R94" i="2"/>
  <c r="R95" i="2"/>
  <c r="R96" i="2"/>
  <c r="R92" i="2"/>
  <c r="R85" i="2"/>
  <c r="R86" i="2"/>
  <c r="R87" i="2"/>
  <c r="R88" i="2"/>
  <c r="R84" i="2"/>
  <c r="R77" i="2"/>
  <c r="R78" i="2"/>
  <c r="R79" i="2"/>
  <c r="R80" i="2"/>
  <c r="R76" i="2"/>
  <c r="R68" i="2"/>
  <c r="R71" i="2"/>
  <c r="R72" i="2"/>
  <c r="R61" i="2"/>
  <c r="R62" i="2"/>
  <c r="R63" i="2"/>
  <c r="R64" i="2"/>
  <c r="R60" i="2"/>
  <c r="R53" i="2"/>
  <c r="R54" i="2"/>
  <c r="R55" i="2"/>
  <c r="R56" i="2"/>
  <c r="R52" i="2"/>
  <c r="R45" i="2"/>
  <c r="R46" i="2"/>
  <c r="R47" i="2"/>
  <c r="R48" i="2"/>
  <c r="R44" i="2"/>
  <c r="R26" i="2"/>
  <c r="R27" i="2"/>
  <c r="R40" i="2"/>
  <c r="R25" i="2"/>
  <c r="R18" i="2"/>
  <c r="R19" i="2"/>
  <c r="R20" i="2"/>
  <c r="R21" i="2"/>
  <c r="R17" i="2"/>
  <c r="R10" i="2"/>
  <c r="R11" i="2"/>
  <c r="R12" i="2"/>
  <c r="R13" i="2"/>
  <c r="R9" i="2"/>
  <c r="M123" i="2"/>
  <c r="M60" i="2"/>
  <c r="M61" i="2"/>
  <c r="M62" i="2"/>
  <c r="M63" i="2"/>
  <c r="M64" i="2"/>
  <c r="F56" i="1" l="1"/>
  <c r="F49" i="1"/>
  <c r="F93" i="1"/>
  <c r="F92" i="1"/>
  <c r="F91" i="1"/>
  <c r="F140" i="1"/>
  <c r="F235" i="1"/>
  <c r="F228" i="1" s="1"/>
  <c r="F153" i="1"/>
  <c r="F152" i="1"/>
  <c r="F225" i="1"/>
  <c r="F219" i="1"/>
  <c r="F213" i="1"/>
  <c r="F207" i="1"/>
  <c r="F201" i="1"/>
  <c r="F195" i="1"/>
  <c r="F189" i="1"/>
  <c r="F165" i="1"/>
  <c r="F224" i="1"/>
  <c r="F218" i="1"/>
  <c r="F212" i="1"/>
  <c r="F206" i="1"/>
  <c r="F200" i="1"/>
  <c r="F194" i="1"/>
  <c r="F188" i="1"/>
  <c r="F164" i="1"/>
  <c r="F223" i="1"/>
  <c r="F217" i="1"/>
  <c r="F211" i="1"/>
  <c r="F205" i="1"/>
  <c r="F199" i="1"/>
  <c r="F193" i="1"/>
  <c r="F187" i="1"/>
  <c r="F163" i="1"/>
  <c r="F151" i="1"/>
  <c r="F139" i="1"/>
  <c r="F222" i="1"/>
  <c r="F216" i="1"/>
  <c r="F210" i="1"/>
  <c r="F204" i="1"/>
  <c r="F198" i="1"/>
  <c r="F192" i="1"/>
  <c r="F186" i="1"/>
  <c r="F162" i="1"/>
  <c r="F150" i="1"/>
  <c r="F138" i="1"/>
  <c r="F90" i="1"/>
  <c r="F42" i="1"/>
  <c r="F41" i="1"/>
  <c r="F55" i="1"/>
  <c r="F48" i="1"/>
  <c r="F54" i="1"/>
  <c r="F47" i="1"/>
  <c r="F40" i="1"/>
  <c r="F53" i="1"/>
  <c r="F46" i="1"/>
  <c r="F39" i="1"/>
  <c r="I79" i="66"/>
  <c r="I77" i="66"/>
  <c r="I76" i="66"/>
  <c r="I73" i="66"/>
  <c r="I72" i="66"/>
  <c r="I71" i="66"/>
  <c r="A71" i="66"/>
  <c r="M65" i="66"/>
  <c r="F22" i="66" s="1"/>
  <c r="L65" i="66"/>
  <c r="F21" i="66" s="1"/>
  <c r="K65" i="66"/>
  <c r="J65" i="66"/>
  <c r="I65" i="66"/>
  <c r="H65" i="66"/>
  <c r="H78" i="66" s="1"/>
  <c r="H80" i="66" s="1"/>
  <c r="F14" i="66" s="1"/>
  <c r="G65" i="66"/>
  <c r="G78" i="66" s="1"/>
  <c r="G80" i="66" s="1"/>
  <c r="F13" i="66" s="1"/>
  <c r="F65" i="66"/>
  <c r="F78" i="66" s="1"/>
  <c r="F80" i="66" s="1"/>
  <c r="F12" i="66" s="1"/>
  <c r="E65" i="66"/>
  <c r="E78" i="66" s="1"/>
  <c r="E80" i="66" s="1"/>
  <c r="F11" i="66" s="1"/>
  <c r="D65" i="66"/>
  <c r="C65" i="66"/>
  <c r="A53" i="66"/>
  <c r="K47" i="66"/>
  <c r="J47" i="66"/>
  <c r="I47" i="66"/>
  <c r="H47" i="66"/>
  <c r="F17" i="66" s="1"/>
  <c r="G47" i="66"/>
  <c r="F47" i="66"/>
  <c r="F15" i="66" s="1"/>
  <c r="E47" i="66"/>
  <c r="D47" i="66"/>
  <c r="C47" i="66"/>
  <c r="F5" i="66" s="1"/>
  <c r="A36" i="66"/>
  <c r="G10" i="66"/>
  <c r="G23" i="66" s="1"/>
  <c r="G8" i="66"/>
  <c r="I88" i="65"/>
  <c r="I86" i="65"/>
  <c r="I85" i="65"/>
  <c r="I75" i="65"/>
  <c r="I74" i="65"/>
  <c r="I73" i="65"/>
  <c r="I72" i="65"/>
  <c r="A72" i="65"/>
  <c r="M66" i="65"/>
  <c r="F22" i="65" s="1"/>
  <c r="L66" i="65"/>
  <c r="F21" i="65" s="1"/>
  <c r="K66" i="65"/>
  <c r="J66" i="65"/>
  <c r="I66" i="65"/>
  <c r="H66" i="65"/>
  <c r="H87" i="65" s="1"/>
  <c r="H89" i="65" s="1"/>
  <c r="F14" i="65" s="1"/>
  <c r="G66" i="65"/>
  <c r="G87" i="65" s="1"/>
  <c r="G89" i="65" s="1"/>
  <c r="F13" i="65" s="1"/>
  <c r="F66" i="65"/>
  <c r="F87" i="65" s="1"/>
  <c r="F89" i="65" s="1"/>
  <c r="F12" i="65" s="1"/>
  <c r="E66" i="65"/>
  <c r="E87" i="65" s="1"/>
  <c r="D66" i="65"/>
  <c r="C66" i="65"/>
  <c r="A54" i="65"/>
  <c r="K48" i="65"/>
  <c r="J48" i="65"/>
  <c r="I48" i="65"/>
  <c r="H48" i="65"/>
  <c r="F17" i="65" s="1"/>
  <c r="G48" i="65"/>
  <c r="F48" i="65"/>
  <c r="F15" i="65" s="1"/>
  <c r="E48" i="65"/>
  <c r="D48" i="65"/>
  <c r="C48" i="65"/>
  <c r="F5" i="65" s="1"/>
  <c r="A38" i="65"/>
  <c r="G10" i="65"/>
  <c r="G23" i="65" s="1"/>
  <c r="G8" i="65"/>
  <c r="I92" i="63"/>
  <c r="I82" i="63"/>
  <c r="A82" i="63"/>
  <c r="M76" i="63"/>
  <c r="F22" i="63" s="1"/>
  <c r="L76" i="63"/>
  <c r="F21" i="63" s="1"/>
  <c r="K76" i="63"/>
  <c r="J76" i="63"/>
  <c r="I76" i="63"/>
  <c r="H76" i="63"/>
  <c r="H91" i="63" s="1"/>
  <c r="H93" i="63" s="1"/>
  <c r="F14" i="63" s="1"/>
  <c r="G76" i="63"/>
  <c r="G91" i="63" s="1"/>
  <c r="G93" i="63" s="1"/>
  <c r="F13" i="63" s="1"/>
  <c r="F76" i="63"/>
  <c r="F91" i="63" s="1"/>
  <c r="F93" i="63" s="1"/>
  <c r="F12" i="63" s="1"/>
  <c r="E76" i="63"/>
  <c r="E91" i="63" s="1"/>
  <c r="D76" i="63"/>
  <c r="C76" i="63"/>
  <c r="A64" i="63"/>
  <c r="K58" i="63"/>
  <c r="J58" i="63"/>
  <c r="I58" i="63"/>
  <c r="H58" i="63"/>
  <c r="F17" i="63" s="1"/>
  <c r="G58" i="63"/>
  <c r="F58" i="63"/>
  <c r="F15" i="63" s="1"/>
  <c r="E58" i="63"/>
  <c r="D58" i="63"/>
  <c r="C58" i="63"/>
  <c r="F5" i="63" s="1"/>
  <c r="A36" i="63"/>
  <c r="G10" i="63"/>
  <c r="G23" i="63" s="1"/>
  <c r="G8" i="63"/>
  <c r="F7" i="63" l="1"/>
  <c r="F19" i="66"/>
  <c r="F20" i="66"/>
  <c r="F20" i="63"/>
  <c r="G25" i="63"/>
  <c r="F18" i="63"/>
  <c r="F7" i="65"/>
  <c r="F19" i="63"/>
  <c r="F7" i="66"/>
  <c r="F18" i="65"/>
  <c r="F19" i="65"/>
  <c r="F6" i="66"/>
  <c r="F18" i="66"/>
  <c r="F6" i="65"/>
  <c r="F20" i="65"/>
  <c r="F6" i="63"/>
  <c r="G25" i="66"/>
  <c r="G25" i="65"/>
  <c r="O65" i="66"/>
  <c r="O66" i="65"/>
  <c r="O76" i="63"/>
  <c r="L47" i="66"/>
  <c r="L48" i="65"/>
  <c r="L58" i="63"/>
  <c r="I78" i="66"/>
  <c r="I80" i="66" s="1"/>
  <c r="E89" i="65"/>
  <c r="F11" i="65" s="1"/>
  <c r="I87" i="65"/>
  <c r="I89" i="65" s="1"/>
  <c r="E93" i="63"/>
  <c r="F11" i="63" s="1"/>
  <c r="I91" i="63"/>
  <c r="I93" i="63" s="1"/>
  <c r="D12" i="61"/>
  <c r="E125" i="1" s="1"/>
  <c r="D24" i="61"/>
  <c r="E123" i="1" s="1"/>
  <c r="G28" i="4"/>
  <c r="G19" i="4"/>
  <c r="G10" i="4"/>
  <c r="I28" i="4"/>
  <c r="I19" i="4"/>
  <c r="I10" i="4"/>
  <c r="F99" i="1"/>
  <c r="F98" i="1"/>
  <c r="C4" i="3"/>
  <c r="C5" i="3" s="1"/>
  <c r="B5" i="3"/>
  <c r="D5" i="3"/>
  <c r="F100" i="1"/>
  <c r="F97" i="1"/>
  <c r="E117" i="1" l="1"/>
  <c r="F23" i="66"/>
  <c r="F8" i="63"/>
  <c r="F8" i="66"/>
  <c r="F23" i="63"/>
  <c r="F8" i="65"/>
  <c r="F23" i="65"/>
  <c r="F117" i="1"/>
  <c r="F96" i="1"/>
  <c r="F128" i="1"/>
  <c r="F130" i="1"/>
  <c r="F129" i="1"/>
  <c r="F52" i="1"/>
  <c r="F45" i="1"/>
  <c r="F38" i="1"/>
  <c r="F221" i="1"/>
  <c r="F220" i="1" s="1"/>
  <c r="F215" i="1"/>
  <c r="F214" i="1" s="1"/>
  <c r="F209" i="1"/>
  <c r="F208" i="1" s="1"/>
  <c r="F203" i="1"/>
  <c r="F202" i="1" s="1"/>
  <c r="F197" i="1"/>
  <c r="F196" i="1" s="1"/>
  <c r="F191" i="1"/>
  <c r="F190" i="1" s="1"/>
  <c r="F185" i="1"/>
  <c r="F184" i="1" s="1"/>
  <c r="F161" i="1"/>
  <c r="F149" i="1"/>
  <c r="F137" i="1"/>
  <c r="F136" i="1" s="1"/>
  <c r="F89" i="1"/>
  <c r="F25" i="66" l="1"/>
  <c r="F25" i="65"/>
  <c r="F25" i="63"/>
  <c r="F183" i="1"/>
  <c r="F127" i="1"/>
  <c r="C135" i="2"/>
  <c r="C143" i="2"/>
  <c r="E255" i="1" s="1"/>
  <c r="B143" i="2"/>
  <c r="D135" i="2"/>
  <c r="D138" i="2" s="1"/>
  <c r="D143" i="2" s="1"/>
  <c r="E256" i="1" s="1"/>
  <c r="B135" i="2"/>
  <c r="E254" i="1" s="1"/>
  <c r="Q121" i="2"/>
  <c r="P121" i="2"/>
  <c r="O121" i="2"/>
  <c r="N121" i="2"/>
  <c r="K121" i="2"/>
  <c r="J121" i="2"/>
  <c r="I121" i="2"/>
  <c r="H121" i="2"/>
  <c r="G121" i="2"/>
  <c r="F121" i="2"/>
  <c r="E121" i="2"/>
  <c r="D121" i="2"/>
  <c r="C121" i="2"/>
  <c r="B121" i="2"/>
  <c r="Q113" i="2"/>
  <c r="P113" i="2"/>
  <c r="O113" i="2"/>
  <c r="N113" i="2"/>
  <c r="K113" i="2"/>
  <c r="J113" i="2"/>
  <c r="I113" i="2"/>
  <c r="H113" i="2"/>
  <c r="G113" i="2"/>
  <c r="F113" i="2"/>
  <c r="E113" i="2"/>
  <c r="D113" i="2"/>
  <c r="C113" i="2"/>
  <c r="B113" i="2"/>
  <c r="Q105" i="2"/>
  <c r="P105" i="2"/>
  <c r="O105" i="2"/>
  <c r="N105" i="2"/>
  <c r="K105" i="2"/>
  <c r="J105" i="2"/>
  <c r="I105" i="2"/>
  <c r="H105" i="2"/>
  <c r="G105" i="2"/>
  <c r="F105" i="2"/>
  <c r="E105" i="2"/>
  <c r="D105" i="2"/>
  <c r="C105" i="2"/>
  <c r="B105" i="2"/>
  <c r="Q97" i="2"/>
  <c r="P97" i="2"/>
  <c r="O97" i="2"/>
  <c r="N97" i="2"/>
  <c r="K97" i="2"/>
  <c r="J97" i="2"/>
  <c r="I97" i="2"/>
  <c r="H97" i="2"/>
  <c r="G97" i="2"/>
  <c r="F97" i="2"/>
  <c r="E97" i="2"/>
  <c r="D97" i="2"/>
  <c r="C97" i="2"/>
  <c r="B97" i="2"/>
  <c r="Q89" i="2"/>
  <c r="P89" i="2"/>
  <c r="O89" i="2"/>
  <c r="N89" i="2"/>
  <c r="K89" i="2"/>
  <c r="J89" i="2"/>
  <c r="I89" i="2"/>
  <c r="H89" i="2"/>
  <c r="G89" i="2"/>
  <c r="F89" i="2"/>
  <c r="E89" i="2"/>
  <c r="D89" i="2"/>
  <c r="C89" i="2"/>
  <c r="B89" i="2"/>
  <c r="Q81" i="2"/>
  <c r="P81" i="2"/>
  <c r="O81" i="2"/>
  <c r="N81" i="2"/>
  <c r="K81" i="2"/>
  <c r="J81" i="2"/>
  <c r="I81" i="2"/>
  <c r="H81" i="2"/>
  <c r="G81" i="2"/>
  <c r="F81" i="2"/>
  <c r="E81" i="2"/>
  <c r="D81" i="2"/>
  <c r="C81" i="2"/>
  <c r="B81" i="2"/>
  <c r="Q73" i="2"/>
  <c r="P73" i="2"/>
  <c r="O73" i="2"/>
  <c r="N73" i="2"/>
  <c r="K73" i="2"/>
  <c r="J73" i="2"/>
  <c r="I73" i="2"/>
  <c r="H73" i="2"/>
  <c r="G73" i="2"/>
  <c r="F73" i="2"/>
  <c r="E73" i="2"/>
  <c r="D73" i="2"/>
  <c r="C73" i="2"/>
  <c r="B73" i="2"/>
  <c r="Q65" i="2"/>
  <c r="P65" i="2"/>
  <c r="O65" i="2"/>
  <c r="N65" i="2"/>
  <c r="K65" i="2"/>
  <c r="J65" i="2"/>
  <c r="I65" i="2"/>
  <c r="H65" i="2"/>
  <c r="G65" i="2"/>
  <c r="F65" i="2"/>
  <c r="E65" i="2"/>
  <c r="D65" i="2"/>
  <c r="C65" i="2"/>
  <c r="B65" i="2"/>
  <c r="Q57" i="2"/>
  <c r="P57" i="2"/>
  <c r="O57" i="2"/>
  <c r="N57" i="2"/>
  <c r="K57" i="2"/>
  <c r="J57" i="2"/>
  <c r="I57" i="2"/>
  <c r="H57" i="2"/>
  <c r="G57" i="2"/>
  <c r="F57" i="2"/>
  <c r="E57" i="2"/>
  <c r="D57" i="2"/>
  <c r="C57" i="2"/>
  <c r="B57" i="2"/>
  <c r="Q49" i="2"/>
  <c r="P49" i="2"/>
  <c r="O49" i="2"/>
  <c r="N49" i="2"/>
  <c r="K49" i="2"/>
  <c r="J49" i="2"/>
  <c r="I49" i="2"/>
  <c r="H49" i="2"/>
  <c r="G49" i="2"/>
  <c r="F49" i="2"/>
  <c r="E49" i="2"/>
  <c r="D49" i="2"/>
  <c r="C49" i="2"/>
  <c r="B49" i="2"/>
  <c r="Q41" i="2"/>
  <c r="P41" i="2"/>
  <c r="O41" i="2"/>
  <c r="N41" i="2"/>
  <c r="K41" i="2"/>
  <c r="J41" i="2"/>
  <c r="I41" i="2"/>
  <c r="H41" i="2"/>
  <c r="G41" i="2"/>
  <c r="F41" i="2"/>
  <c r="E41" i="2"/>
  <c r="D41" i="2"/>
  <c r="C41" i="2"/>
  <c r="B41" i="2"/>
  <c r="Q22" i="2"/>
  <c r="P22" i="2"/>
  <c r="O22" i="2"/>
  <c r="N22" i="2"/>
  <c r="K22" i="2"/>
  <c r="J22" i="2"/>
  <c r="I22" i="2"/>
  <c r="H22" i="2"/>
  <c r="G22" i="2"/>
  <c r="F22" i="2"/>
  <c r="E22" i="2"/>
  <c r="D22" i="2"/>
  <c r="C22" i="2"/>
  <c r="B22" i="2"/>
  <c r="C14" i="2"/>
  <c r="D14" i="2"/>
  <c r="E14" i="2"/>
  <c r="F14" i="2"/>
  <c r="G14" i="2"/>
  <c r="H14" i="2"/>
  <c r="I14" i="2"/>
  <c r="J14" i="2"/>
  <c r="K14" i="2"/>
  <c r="N14" i="2"/>
  <c r="O14" i="2"/>
  <c r="P14" i="2"/>
  <c r="Q14" i="2"/>
  <c r="B14" i="2"/>
  <c r="D11" i="62"/>
  <c r="E251" i="1" l="1"/>
  <c r="E250" i="1"/>
  <c r="M22" i="2"/>
  <c r="E125" i="2"/>
  <c r="D125" i="2"/>
  <c r="M41" i="2"/>
  <c r="J125" i="2"/>
  <c r="J3" i="2" s="1"/>
  <c r="E180" i="1" s="1"/>
  <c r="C125" i="2"/>
  <c r="C3" i="2" s="1"/>
  <c r="E176" i="1" s="1"/>
  <c r="M97" i="2"/>
  <c r="I125" i="2"/>
  <c r="I3" i="2" s="1"/>
  <c r="E179" i="1" s="1"/>
  <c r="B125" i="2"/>
  <c r="B3" i="2" s="1"/>
  <c r="M14" i="2"/>
  <c r="H125" i="2"/>
  <c r="H3" i="2" s="1"/>
  <c r="E147" i="1" s="1"/>
  <c r="E144" i="1" s="1"/>
  <c r="M57" i="2"/>
  <c r="M89" i="2"/>
  <c r="M121" i="2"/>
  <c r="F125" i="2"/>
  <c r="M49" i="2"/>
  <c r="M81" i="2"/>
  <c r="M113" i="2"/>
  <c r="G125" i="2"/>
  <c r="G3" i="2" s="1"/>
  <c r="E178" i="1" s="1"/>
  <c r="M105" i="2"/>
  <c r="M73" i="2"/>
  <c r="K125" i="2"/>
  <c r="C145" i="2"/>
  <c r="B145" i="2"/>
  <c r="D145" i="2"/>
  <c r="Q125" i="2"/>
  <c r="Q3" i="2" s="1"/>
  <c r="O125" i="2"/>
  <c r="O3" i="2" s="1"/>
  <c r="E20" i="1" s="1"/>
  <c r="N125" i="2"/>
  <c r="N3" i="2" s="1"/>
  <c r="E19" i="1" s="1"/>
  <c r="F3" i="2"/>
  <c r="E158" i="1" s="1"/>
  <c r="E156" i="1" s="1"/>
  <c r="E3" i="2"/>
  <c r="E177" i="1" s="1"/>
  <c r="D3" i="2"/>
  <c r="E135" i="1" s="1"/>
  <c r="E132" i="1" s="1"/>
  <c r="P125" i="2"/>
  <c r="R121" i="2"/>
  <c r="R105" i="2"/>
  <c r="R113" i="2"/>
  <c r="R97" i="2"/>
  <c r="R89" i="2"/>
  <c r="R73" i="2"/>
  <c r="R81" i="2"/>
  <c r="R65" i="2"/>
  <c r="M65" i="2"/>
  <c r="R57" i="2"/>
  <c r="R49" i="2"/>
  <c r="R41" i="2"/>
  <c r="R22" i="2"/>
  <c r="E175" i="1" l="1"/>
  <c r="E174" i="1" s="1"/>
  <c r="E116" i="1" s="1"/>
  <c r="F24" i="1"/>
  <c r="P3" i="2"/>
  <c r="E24" i="1" s="1"/>
  <c r="E23" i="1" s="1"/>
  <c r="F181" i="1"/>
  <c r="K3" i="2"/>
  <c r="E181" i="1" s="1"/>
  <c r="F135" i="1"/>
  <c r="F132" i="1" s="1"/>
  <c r="F177" i="1"/>
  <c r="F158" i="1"/>
  <c r="F147" i="1"/>
  <c r="F180" i="1"/>
  <c r="F176" i="1"/>
  <c r="F178" i="1"/>
  <c r="F175" i="1"/>
  <c r="F179" i="1"/>
  <c r="M3" i="2" l="1"/>
  <c r="F174" i="1"/>
  <c r="E18" i="1"/>
  <c r="E6" i="1" s="1"/>
  <c r="E74" i="1" s="1"/>
  <c r="E281" i="1" l="1"/>
  <c r="F229" i="1"/>
  <c r="F106" i="1" l="1"/>
  <c r="F105" i="1"/>
  <c r="F104" i="1"/>
  <c r="F103" i="1"/>
  <c r="E50" i="3"/>
  <c r="C16" i="3"/>
  <c r="F32" i="1"/>
  <c r="D31" i="49"/>
  <c r="D30" i="49"/>
  <c r="D26" i="49"/>
  <c r="D25" i="49"/>
  <c r="D22" i="49"/>
  <c r="D21" i="49"/>
  <c r="H9" i="49" s="1"/>
  <c r="I14" i="49" l="1"/>
  <c r="E81" i="1" s="1"/>
  <c r="E79" i="1" s="1"/>
  <c r="E280" i="1" s="1"/>
  <c r="E282" i="1" s="1"/>
  <c r="H15" i="49"/>
  <c r="H21" i="49" s="1"/>
  <c r="H22" i="49" s="1"/>
  <c r="F102" i="1"/>
  <c r="D33" i="49"/>
  <c r="R14" i="2"/>
  <c r="R125" i="2" s="1"/>
  <c r="R3" i="2" s="1"/>
  <c r="C7" i="49"/>
  <c r="C5" i="49"/>
  <c r="C4" i="49"/>
  <c r="F87" i="1"/>
  <c r="F86" i="1" s="1"/>
  <c r="F70" i="1"/>
  <c r="C15" i="49" l="1"/>
  <c r="D6" i="49"/>
  <c r="F37" i="1"/>
  <c r="F51" i="1"/>
  <c r="F44" i="1"/>
  <c r="F23" i="1" l="1"/>
  <c r="F261" i="1"/>
  <c r="F27" i="1" l="1"/>
  <c r="F11" i="1" l="1"/>
  <c r="F148" i="1"/>
  <c r="F144" i="1" s="1"/>
  <c r="F88" i="1"/>
  <c r="F78" i="1" s="1"/>
  <c r="F36" i="1"/>
  <c r="F160" i="1"/>
  <c r="F156" i="1" s="1"/>
  <c r="F116" i="1" l="1"/>
  <c r="F275" i="1"/>
  <c r="F270" i="1" l="1"/>
  <c r="F265" i="1" s="1"/>
  <c r="F250" i="1" s="1"/>
  <c r="F280" i="1" s="1"/>
  <c r="F285" i="1" s="1"/>
  <c r="F61" i="1" l="1"/>
  <c r="F66" i="1"/>
  <c r="F60" i="1" l="1"/>
  <c r="F7" i="1"/>
  <c r="F6" i="1" s="1"/>
  <c r="F281" i="1" l="1"/>
  <c r="F282" i="1" s="1"/>
  <c r="F74" i="1" l="1"/>
</calcChain>
</file>

<file path=xl/comments1.xml><?xml version="1.0" encoding="utf-8"?>
<comments xmlns="http://schemas.openxmlformats.org/spreadsheetml/2006/main">
  <authors>
    <author>fedde</author>
  </authors>
  <commentList>
    <comment ref="D5" authorId="0" shapeId="0">
      <text>
        <r>
          <rPr>
            <b/>
            <sz val="9"/>
            <color indexed="81"/>
            <rFont val="Segoe UI"/>
            <family val="2"/>
          </rPr>
          <t>Alle Teilnahmebeiträge für Fachseminare</t>
        </r>
      </text>
    </comment>
    <comment ref="D6" authorId="0" shapeId="0">
      <text>
        <r>
          <rPr>
            <b/>
            <sz val="9"/>
            <color indexed="81"/>
            <rFont val="Segoe UI"/>
            <family val="2"/>
          </rPr>
          <t>Fachschaftsexkursionen z.B., Workshop Großpuppenbau</t>
        </r>
      </text>
    </comment>
    <comment ref="D7" authorId="0" shapeId="0">
      <text>
        <r>
          <rPr>
            <b/>
            <sz val="9"/>
            <color indexed="81"/>
            <rFont val="Segoe UI"/>
            <family val="2"/>
          </rPr>
          <t>Einnahmen aus Bewirtungen nur als durchlaufende Posten, hier nur noch nicht abgerechnete Vorauszahlungen.</t>
        </r>
      </text>
    </comment>
    <comment ref="D10" authorId="0" shapeId="0">
      <text>
        <r>
          <rPr>
            <b/>
            <sz val="9"/>
            <color indexed="81"/>
            <rFont val="Segoe UI"/>
            <family val="2"/>
          </rPr>
          <t>Feststehender Posten gem. Satzung</t>
        </r>
      </text>
    </comment>
    <comment ref="D12" authorId="0" shapeId="0">
      <text>
        <r>
          <rPr>
            <b/>
            <sz val="9"/>
            <color indexed="81"/>
            <rFont val="Segoe UI"/>
            <family val="2"/>
          </rPr>
          <t>Enthält alle FK und VP, die an FSR-Mitglieder und Ersatzmitglieder gezahlt werden.</t>
        </r>
      </text>
    </comment>
    <comment ref="D13" authorId="0" shapeId="0">
      <text>
        <r>
          <rPr>
            <b/>
            <sz val="9"/>
            <color indexed="81"/>
            <rFont val="Segoe UI"/>
            <family val="2"/>
          </rPr>
          <t>Alle Raum. Und Unterkunftskosten für Interne. Bedient Sitzungen, Treffen, Reisen in Funktion u.ä.</t>
        </r>
      </text>
    </comment>
    <comment ref="D14" authorId="0" shapeId="0">
      <text>
        <r>
          <rPr>
            <b/>
            <sz val="9"/>
            <color indexed="81"/>
            <rFont val="Segoe UI"/>
            <family val="2"/>
          </rPr>
          <t>Nur "Food", nicht "Non-Food".
Repräsentation: Bspw. Fachschaftskleidung</t>
        </r>
      </text>
    </comment>
    <comment ref="D15" authorId="0" shapeId="0">
      <text>
        <r>
          <rPr>
            <b/>
            <sz val="9"/>
            <color indexed="81"/>
            <rFont val="Segoe UI"/>
            <family val="2"/>
          </rPr>
          <t>Hier nur die Honorare für Dozierende kostenpflichtiger Seminare für Studierende</t>
        </r>
      </text>
    </comment>
    <comment ref="D16" authorId="0" shapeId="0">
      <text>
        <r>
          <rPr>
            <b/>
            <sz val="9"/>
            <color indexed="81"/>
            <rFont val="Segoe UI"/>
            <family val="2"/>
          </rPr>
          <t>Hier alle anderen Honorare für externe Dozierende. Z.B. kostenlose Seminare, Workshops, Vorträge...</t>
        </r>
      </text>
    </comment>
    <comment ref="D17" authorId="0" shapeId="0">
      <text>
        <r>
          <rPr>
            <b/>
            <sz val="9"/>
            <color indexed="81"/>
            <rFont val="Segoe UI"/>
            <family val="2"/>
          </rPr>
          <t>Alle RK-Erstattungen an Externe. Meist Doz. Präsenzseminare und andere Dozierende.</t>
        </r>
      </text>
    </comment>
    <comment ref="D18" authorId="0" shapeId="0">
      <text>
        <r>
          <rPr>
            <b/>
            <sz val="9"/>
            <color indexed="81"/>
            <rFont val="Segoe UI"/>
            <family val="2"/>
          </rPr>
          <t>Kaffee und Kekse für Präsenzseminare.
Ein Kasten Bier.
Empfänge. Wiwi-Eule.</t>
        </r>
      </text>
    </comment>
    <comment ref="D19" authorId="0" shapeId="0">
      <text>
        <r>
          <rPr>
            <b/>
            <sz val="9"/>
            <color indexed="81"/>
            <rFont val="Segoe UI"/>
            <family val="2"/>
          </rPr>
          <t>Unterkunft Doz., kostenpfl. Räume in der BHS oder anderswo.</t>
        </r>
      </text>
    </comment>
    <comment ref="D20" authorId="0" shapeId="0">
      <text>
        <r>
          <rPr>
            <b/>
            <sz val="9"/>
            <color indexed="81"/>
            <rFont val="Segoe UI"/>
            <family val="2"/>
          </rPr>
          <t>Alle Druckkosten</t>
        </r>
      </text>
    </comment>
    <comment ref="D21" authorId="0" shapeId="0">
      <text>
        <r>
          <rPr>
            <b/>
            <sz val="9"/>
            <color indexed="81"/>
            <rFont val="Segoe UI"/>
            <family val="2"/>
          </rPr>
          <t>Auch: Beteiligung an Versandkosten für Sprachrohr-Beilagen, Non-Food, Kleinanschaffungen</t>
        </r>
      </text>
    </comment>
    <comment ref="D22" authorId="0" shapeId="0">
      <text>
        <r>
          <rPr>
            <b/>
            <sz val="9"/>
            <color indexed="81"/>
            <rFont val="Segoe UI"/>
            <family val="2"/>
          </rPr>
          <t>Rechtsangelegenheiten laufen über den AStA und erfordern eine Gegenzeichnung.</t>
        </r>
      </text>
    </comment>
    <comment ref="D32" authorId="0" shapeId="0">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47" authorId="0" shapeId="0">
      <text>
        <r>
          <rPr>
            <b/>
            <sz val="9"/>
            <color indexed="81"/>
            <rFont val="Segoe UI"/>
            <family val="2"/>
          </rPr>
          <t>Alle Maßnahmen, Tätigkeiten, Kleinanschaffungen, Exkursionen und Vergleichbares</t>
        </r>
      </text>
    </comment>
    <comment ref="D64" authorId="0" shapeId="0">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2.xml><?xml version="1.0" encoding="utf-8"?>
<comments xmlns="http://schemas.openxmlformats.org/spreadsheetml/2006/main">
  <authors>
    <author>fedde</author>
  </authors>
  <commentList>
    <comment ref="D5" authorId="0" shapeId="0">
      <text>
        <r>
          <rPr>
            <b/>
            <sz val="9"/>
            <color indexed="81"/>
            <rFont val="Segoe UI"/>
            <family val="2"/>
          </rPr>
          <t>Alle Teilnahmebeiträge für Fachseminare</t>
        </r>
      </text>
    </comment>
    <comment ref="D6" authorId="0" shapeId="0">
      <text>
        <r>
          <rPr>
            <b/>
            <sz val="9"/>
            <color indexed="81"/>
            <rFont val="Segoe UI"/>
            <family val="2"/>
          </rPr>
          <t>Fachschaftsexkursionen z.B., Workshop Großpuppenbau</t>
        </r>
      </text>
    </comment>
    <comment ref="D7" authorId="0" shapeId="0">
      <text>
        <r>
          <rPr>
            <b/>
            <sz val="9"/>
            <color indexed="81"/>
            <rFont val="Segoe UI"/>
            <family val="2"/>
          </rPr>
          <t>Einnahmen aus Bewirtungen nur als durchlaufende Posten, hier nur noch nicht abgerechnete Vorauszahlungen.</t>
        </r>
      </text>
    </comment>
    <comment ref="D10" authorId="0" shapeId="0">
      <text>
        <r>
          <rPr>
            <b/>
            <sz val="9"/>
            <color indexed="81"/>
            <rFont val="Segoe UI"/>
            <family val="2"/>
          </rPr>
          <t>Feststehender Posten gem. Satzung</t>
        </r>
      </text>
    </comment>
    <comment ref="D12" authorId="0" shapeId="0">
      <text>
        <r>
          <rPr>
            <b/>
            <sz val="9"/>
            <color indexed="81"/>
            <rFont val="Segoe UI"/>
            <family val="2"/>
          </rPr>
          <t>Enthält alle FK und VP, die an FSR-Mitglieder und Ersatzmitglieder gezahlt werden.</t>
        </r>
      </text>
    </comment>
    <comment ref="D13" authorId="0" shapeId="0">
      <text>
        <r>
          <rPr>
            <b/>
            <sz val="9"/>
            <color indexed="81"/>
            <rFont val="Segoe UI"/>
            <family val="2"/>
          </rPr>
          <t>Alle Raum. Und Unterkunftskosten für Interne. Bedient Sitzungen, Treffen, Reisen in Funktion u.ä.</t>
        </r>
      </text>
    </comment>
    <comment ref="D14" authorId="0" shapeId="0">
      <text>
        <r>
          <rPr>
            <b/>
            <sz val="9"/>
            <color indexed="81"/>
            <rFont val="Segoe UI"/>
            <family val="2"/>
          </rPr>
          <t>Nur "Food", nicht "Non-Food".
Repräsentation: Bspw. Fachschaftskleidung</t>
        </r>
      </text>
    </comment>
    <comment ref="D15" authorId="0" shapeId="0">
      <text>
        <r>
          <rPr>
            <b/>
            <sz val="9"/>
            <color indexed="81"/>
            <rFont val="Segoe UI"/>
            <family val="2"/>
          </rPr>
          <t>Hier nur die Honorare für Dozierende kostenpflichtiger Seminare für Studierende</t>
        </r>
      </text>
    </comment>
    <comment ref="D16" authorId="0" shapeId="0">
      <text>
        <r>
          <rPr>
            <b/>
            <sz val="9"/>
            <color indexed="81"/>
            <rFont val="Segoe UI"/>
            <family val="2"/>
          </rPr>
          <t>Hier alle anderen Honorare für externe Dozierende. Z.B. kostenlose Seminare, Workshops, Vorträge...</t>
        </r>
      </text>
    </comment>
    <comment ref="D17" authorId="0" shapeId="0">
      <text>
        <r>
          <rPr>
            <b/>
            <sz val="9"/>
            <color indexed="81"/>
            <rFont val="Segoe UI"/>
            <family val="2"/>
          </rPr>
          <t>Alle RK-Erstattungen an Externe. Meist Doz. Präsenzseminare und andere Dozierende.</t>
        </r>
      </text>
    </comment>
    <comment ref="D18" authorId="0" shapeId="0">
      <text>
        <r>
          <rPr>
            <b/>
            <sz val="9"/>
            <color indexed="81"/>
            <rFont val="Segoe UI"/>
            <family val="2"/>
          </rPr>
          <t>Kaffee und Kekse für Präsenzseminare.
Ein Kasten Bier.
Empfänge. Wiwi-Eule.</t>
        </r>
      </text>
    </comment>
    <comment ref="D19" authorId="0" shapeId="0">
      <text>
        <r>
          <rPr>
            <b/>
            <sz val="9"/>
            <color indexed="81"/>
            <rFont val="Segoe UI"/>
            <family val="2"/>
          </rPr>
          <t>Unterkunft Doz., kostenpfl. Räume in der BHS oder anderswo.</t>
        </r>
      </text>
    </comment>
    <comment ref="D20" authorId="0" shapeId="0">
      <text>
        <r>
          <rPr>
            <b/>
            <sz val="9"/>
            <color indexed="81"/>
            <rFont val="Segoe UI"/>
            <family val="2"/>
          </rPr>
          <t>Alle Druckkosten</t>
        </r>
      </text>
    </comment>
    <comment ref="D21" authorId="0" shapeId="0">
      <text>
        <r>
          <rPr>
            <b/>
            <sz val="9"/>
            <color indexed="81"/>
            <rFont val="Segoe UI"/>
            <family val="2"/>
          </rPr>
          <t>Auch: Beteiligung an Versandkosten für Sprachrohr-Beilagen, Non-Food, Kleinanschaffungen</t>
        </r>
      </text>
    </comment>
    <comment ref="D22" authorId="0" shapeId="0">
      <text>
        <r>
          <rPr>
            <b/>
            <sz val="9"/>
            <color indexed="81"/>
            <rFont val="Segoe UI"/>
            <family val="2"/>
          </rPr>
          <t>Rechtsangelegenheiten laufen über den AStA und erfordern eine Gegenzeichnung.</t>
        </r>
      </text>
    </comment>
    <comment ref="D32" authorId="0" shapeId="0">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60" authorId="0" shapeId="0">
      <text>
        <r>
          <rPr>
            <b/>
            <sz val="9"/>
            <color indexed="81"/>
            <rFont val="Segoe UI"/>
            <family val="2"/>
          </rPr>
          <t>Alle Maßnahmen, Tätigkeiten, Kleinanschaffungen, Exkursionen und Vergleichbares</t>
        </r>
      </text>
    </comment>
    <comment ref="D78" authorId="0" shapeId="0">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3.xml><?xml version="1.0" encoding="utf-8"?>
<comments xmlns="http://schemas.openxmlformats.org/spreadsheetml/2006/main">
  <authors>
    <author>fedde</author>
  </authors>
  <commentList>
    <comment ref="D5" authorId="0" shapeId="0">
      <text>
        <r>
          <rPr>
            <b/>
            <sz val="9"/>
            <color indexed="81"/>
            <rFont val="Segoe UI"/>
            <family val="2"/>
          </rPr>
          <t>Alle Teilnahmebeiträge für Fachseminare</t>
        </r>
      </text>
    </comment>
    <comment ref="D6" authorId="0" shapeId="0">
      <text>
        <r>
          <rPr>
            <b/>
            <sz val="9"/>
            <color indexed="81"/>
            <rFont val="Segoe UI"/>
            <family val="2"/>
          </rPr>
          <t>Fachschaftsexkursionen z.B., Workshop Großpuppenbau</t>
        </r>
      </text>
    </comment>
    <comment ref="D7" authorId="0" shapeId="0">
      <text>
        <r>
          <rPr>
            <b/>
            <sz val="9"/>
            <color indexed="81"/>
            <rFont val="Segoe UI"/>
            <family val="2"/>
          </rPr>
          <t>Einnahmen aus Bewirtungen nur als durchlaufende Posten, hier nur noch nicht abgerechnete Vorauszahlungen.</t>
        </r>
      </text>
    </comment>
    <comment ref="D10" authorId="0" shapeId="0">
      <text>
        <r>
          <rPr>
            <b/>
            <sz val="9"/>
            <color indexed="81"/>
            <rFont val="Segoe UI"/>
            <family val="2"/>
          </rPr>
          <t>Feststehender Posten gem. Satzung</t>
        </r>
      </text>
    </comment>
    <comment ref="D12" authorId="0" shapeId="0">
      <text>
        <r>
          <rPr>
            <b/>
            <sz val="9"/>
            <color indexed="81"/>
            <rFont val="Segoe UI"/>
            <family val="2"/>
          </rPr>
          <t>Enthält alle FK und VP, die an FSR-Mitglieder und Ersatzmitglieder gezahlt werden.</t>
        </r>
      </text>
    </comment>
    <comment ref="D13" authorId="0" shapeId="0">
      <text>
        <r>
          <rPr>
            <b/>
            <sz val="9"/>
            <color indexed="81"/>
            <rFont val="Segoe UI"/>
            <family val="2"/>
          </rPr>
          <t>Alle Raum. Und Unterkunftskosten für Interne. Bedient Sitzungen, Treffen, Reisen in Funktion u.ä.</t>
        </r>
      </text>
    </comment>
    <comment ref="D14" authorId="0" shapeId="0">
      <text>
        <r>
          <rPr>
            <b/>
            <sz val="9"/>
            <color indexed="81"/>
            <rFont val="Segoe UI"/>
            <family val="2"/>
          </rPr>
          <t>Nur "Food", nicht "Non-Food".
Repräsentation: Bspw. Fachschaftskleidung</t>
        </r>
      </text>
    </comment>
    <comment ref="D15" authorId="0" shapeId="0">
      <text>
        <r>
          <rPr>
            <b/>
            <sz val="9"/>
            <color indexed="81"/>
            <rFont val="Segoe UI"/>
            <family val="2"/>
          </rPr>
          <t>Hier nur die Honorare für Dozierende kostenpflichtiger Seminare für Studierende</t>
        </r>
      </text>
    </comment>
    <comment ref="D16" authorId="0" shapeId="0">
      <text>
        <r>
          <rPr>
            <b/>
            <sz val="9"/>
            <color indexed="81"/>
            <rFont val="Segoe UI"/>
            <family val="2"/>
          </rPr>
          <t>Hier alle anderen Honorare für externe Dozierende. Z.B. kostenlose Seminare, Workshops, Vorträge...</t>
        </r>
      </text>
    </comment>
    <comment ref="D17" authorId="0" shapeId="0">
      <text>
        <r>
          <rPr>
            <b/>
            <sz val="9"/>
            <color indexed="81"/>
            <rFont val="Segoe UI"/>
            <family val="2"/>
          </rPr>
          <t>Alle RK-Erstattungen an Externe. Meist Doz. Präsenzseminare und andere Dozierende.</t>
        </r>
      </text>
    </comment>
    <comment ref="D18" authorId="0" shapeId="0">
      <text>
        <r>
          <rPr>
            <b/>
            <sz val="9"/>
            <color indexed="81"/>
            <rFont val="Segoe UI"/>
            <family val="2"/>
          </rPr>
          <t>Kaffee und Kekse für Präsenzseminare.
Ein Kasten Bier.
Empfänge. Wiwi-Eule.</t>
        </r>
      </text>
    </comment>
    <comment ref="D19" authorId="0" shapeId="0">
      <text>
        <r>
          <rPr>
            <b/>
            <sz val="9"/>
            <color indexed="81"/>
            <rFont val="Segoe UI"/>
            <family val="2"/>
          </rPr>
          <t>Unterkunft Doz., kostenpfl. Räume in der BHS oder anderswo.</t>
        </r>
      </text>
    </comment>
    <comment ref="D20" authorId="0" shapeId="0">
      <text>
        <r>
          <rPr>
            <b/>
            <sz val="9"/>
            <color indexed="81"/>
            <rFont val="Segoe UI"/>
            <family val="2"/>
          </rPr>
          <t>Alle Druckkosten</t>
        </r>
      </text>
    </comment>
    <comment ref="D21" authorId="0" shapeId="0">
      <text>
        <r>
          <rPr>
            <b/>
            <sz val="9"/>
            <color indexed="81"/>
            <rFont val="Segoe UI"/>
            <family val="2"/>
          </rPr>
          <t>Auch: Beteiligung an Versandkosten für Sprachrohr-Beilagen, Non-Food, Kleinanschaffungen</t>
        </r>
      </text>
    </comment>
    <comment ref="D22" authorId="0" shapeId="0">
      <text>
        <r>
          <rPr>
            <b/>
            <sz val="9"/>
            <color indexed="81"/>
            <rFont val="Segoe UI"/>
            <family val="2"/>
          </rPr>
          <t>Rechtsangelegenheiten laufen über den AStA und erfordern eine Gegenzeichnung.</t>
        </r>
      </text>
    </comment>
    <comment ref="D32" authorId="0" shapeId="0">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46" authorId="0" shapeId="0">
      <text>
        <r>
          <rPr>
            <b/>
            <sz val="9"/>
            <color indexed="81"/>
            <rFont val="Segoe UI"/>
            <family val="2"/>
          </rPr>
          <t>Alle Maßnahmen, Tätigkeiten, Kleinanschaffungen, Exkursionen und Vergleichbares</t>
        </r>
      </text>
    </comment>
    <comment ref="D64" authorId="0" shapeId="0">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4.xml><?xml version="1.0" encoding="utf-8"?>
<comments xmlns="http://schemas.openxmlformats.org/spreadsheetml/2006/main">
  <authors>
    <author>fedde</author>
  </authors>
  <commentList>
    <comment ref="D5" authorId="0" shapeId="0">
      <text>
        <r>
          <rPr>
            <b/>
            <sz val="9"/>
            <color indexed="81"/>
            <rFont val="Segoe UI"/>
            <family val="2"/>
          </rPr>
          <t>Alle Teilnahmebeiträge für Fachseminare</t>
        </r>
      </text>
    </comment>
    <comment ref="D6" authorId="0" shapeId="0">
      <text>
        <r>
          <rPr>
            <b/>
            <sz val="9"/>
            <color indexed="81"/>
            <rFont val="Segoe UI"/>
            <family val="2"/>
          </rPr>
          <t>Fachschaftsexkursionen z.B., Workshop Großpuppenbau</t>
        </r>
      </text>
    </comment>
    <comment ref="D7" authorId="0" shapeId="0">
      <text>
        <r>
          <rPr>
            <b/>
            <sz val="9"/>
            <color indexed="81"/>
            <rFont val="Segoe UI"/>
            <family val="2"/>
          </rPr>
          <t>Einnahmen aus Bewirtungen nur als durchlaufende Posten, hier nur noch nicht abgerechnete Vorauszahlungen.</t>
        </r>
      </text>
    </comment>
    <comment ref="D10" authorId="0" shapeId="0">
      <text>
        <r>
          <rPr>
            <b/>
            <sz val="9"/>
            <color indexed="81"/>
            <rFont val="Segoe UI"/>
            <family val="2"/>
          </rPr>
          <t>Feststehender Posten gem. Satzung</t>
        </r>
      </text>
    </comment>
    <comment ref="D12" authorId="0" shapeId="0">
      <text>
        <r>
          <rPr>
            <b/>
            <sz val="9"/>
            <color indexed="81"/>
            <rFont val="Segoe UI"/>
            <family val="2"/>
          </rPr>
          <t>Enthält alle FK und VP, die an FSR-Mitglieder und Ersatzmitglieder gezahlt werden.</t>
        </r>
      </text>
    </comment>
    <comment ref="D13" authorId="0" shapeId="0">
      <text>
        <r>
          <rPr>
            <b/>
            <sz val="9"/>
            <color indexed="81"/>
            <rFont val="Segoe UI"/>
            <family val="2"/>
          </rPr>
          <t>Alle Raum. Und Unterkunftskosten für Interne. Bedient Sitzungen, Treffen, Reisen in Funktion u.ä.</t>
        </r>
      </text>
    </comment>
    <comment ref="D14" authorId="0" shapeId="0">
      <text>
        <r>
          <rPr>
            <b/>
            <sz val="9"/>
            <color indexed="81"/>
            <rFont val="Segoe UI"/>
            <family val="2"/>
          </rPr>
          <t>Nur "Food", nicht "Non-Food".
Repräsentation: Bspw. Fachschaftskleidung</t>
        </r>
      </text>
    </comment>
    <comment ref="D15" authorId="0" shapeId="0">
      <text>
        <r>
          <rPr>
            <b/>
            <sz val="9"/>
            <color indexed="81"/>
            <rFont val="Segoe UI"/>
            <family val="2"/>
          </rPr>
          <t>Hier nur die Honorare für Dozierende kostenpflichtiger Seminare für Studierende</t>
        </r>
      </text>
    </comment>
    <comment ref="D16" authorId="0" shapeId="0">
      <text>
        <r>
          <rPr>
            <b/>
            <sz val="9"/>
            <color indexed="81"/>
            <rFont val="Segoe UI"/>
            <family val="2"/>
          </rPr>
          <t>Hier alle anderen Honorare für externe Dozierende. Z.B. kostenlose Seminare, Workshops, Vorträge...</t>
        </r>
      </text>
    </comment>
    <comment ref="D17" authorId="0" shapeId="0">
      <text>
        <r>
          <rPr>
            <b/>
            <sz val="9"/>
            <color indexed="81"/>
            <rFont val="Segoe UI"/>
            <family val="2"/>
          </rPr>
          <t>Alle RK-Erstattungen an Externe. Meist Doz. Präsenzseminare und andere Dozierende.</t>
        </r>
      </text>
    </comment>
    <comment ref="D18" authorId="0" shapeId="0">
      <text>
        <r>
          <rPr>
            <b/>
            <sz val="9"/>
            <color indexed="81"/>
            <rFont val="Segoe UI"/>
            <family val="2"/>
          </rPr>
          <t>Kaffee und Kekse für Präsenzseminare.
Ein Kasten Bier.
Empfänge. Wiwi-Eule.</t>
        </r>
      </text>
    </comment>
    <comment ref="D19" authorId="0" shapeId="0">
      <text>
        <r>
          <rPr>
            <b/>
            <sz val="9"/>
            <color indexed="81"/>
            <rFont val="Segoe UI"/>
            <family val="2"/>
          </rPr>
          <t>Unterkunft Doz., kostenpfl. Räume in der BHS oder anderswo.</t>
        </r>
      </text>
    </comment>
    <comment ref="D20" authorId="0" shapeId="0">
      <text>
        <r>
          <rPr>
            <b/>
            <sz val="9"/>
            <color indexed="81"/>
            <rFont val="Segoe UI"/>
            <family val="2"/>
          </rPr>
          <t>Alle Druckkosten</t>
        </r>
      </text>
    </comment>
    <comment ref="D21" authorId="0" shapeId="0">
      <text>
        <r>
          <rPr>
            <b/>
            <sz val="9"/>
            <color indexed="81"/>
            <rFont val="Segoe UI"/>
            <family val="2"/>
          </rPr>
          <t>Auch: Beteiligung an Versandkosten für Sprachrohr-Beilagen, Non-Food, Kleinanschaffungen</t>
        </r>
      </text>
    </comment>
    <comment ref="D22" authorId="0" shapeId="0">
      <text>
        <r>
          <rPr>
            <b/>
            <sz val="9"/>
            <color indexed="81"/>
            <rFont val="Segoe UI"/>
            <family val="2"/>
          </rPr>
          <t>Rechtsangelegenheiten laufen über den AStA und erfordern eine Gegenzeichnung.</t>
        </r>
      </text>
    </comment>
    <comment ref="D32" authorId="0" shapeId="0">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50" authorId="0" shapeId="0">
      <text>
        <r>
          <rPr>
            <b/>
            <sz val="9"/>
            <color indexed="81"/>
            <rFont val="Segoe UI"/>
            <family val="2"/>
          </rPr>
          <t>Alle Maßnahmen, Tätigkeiten, Kleinanschaffungen, Exkursionen und Vergleichbares</t>
        </r>
      </text>
    </comment>
    <comment ref="D68" authorId="0" shapeId="0">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5.xml><?xml version="1.0" encoding="utf-8"?>
<comments xmlns="http://schemas.openxmlformats.org/spreadsheetml/2006/main">
  <authors>
    <author>fedde</author>
  </authors>
  <commentList>
    <comment ref="D5" authorId="0" shapeId="0">
      <text>
        <r>
          <rPr>
            <b/>
            <sz val="9"/>
            <color indexed="81"/>
            <rFont val="Segoe UI"/>
            <family val="2"/>
          </rPr>
          <t>Alle Teilnahmebeiträge für Fachseminare</t>
        </r>
      </text>
    </comment>
    <comment ref="D6" authorId="0" shapeId="0">
      <text>
        <r>
          <rPr>
            <b/>
            <sz val="9"/>
            <color indexed="81"/>
            <rFont val="Segoe UI"/>
            <family val="2"/>
          </rPr>
          <t>Fachschaftsexkursionen z.B., Workshop Großpuppenbau</t>
        </r>
      </text>
    </comment>
    <comment ref="D7" authorId="0" shapeId="0">
      <text>
        <r>
          <rPr>
            <b/>
            <sz val="9"/>
            <color indexed="81"/>
            <rFont val="Segoe UI"/>
            <family val="2"/>
          </rPr>
          <t>Einnahmen aus Bewirtungen nur als durchlaufende Posten, hier nur noch nicht abgerechnete Vorauszahlungen.</t>
        </r>
      </text>
    </comment>
    <comment ref="D10" authorId="0" shapeId="0">
      <text>
        <r>
          <rPr>
            <b/>
            <sz val="9"/>
            <color indexed="81"/>
            <rFont val="Segoe UI"/>
            <family val="2"/>
          </rPr>
          <t>Feststehender Posten gem. Satzung</t>
        </r>
      </text>
    </comment>
    <comment ref="D12" authorId="0" shapeId="0">
      <text>
        <r>
          <rPr>
            <b/>
            <sz val="9"/>
            <color indexed="81"/>
            <rFont val="Segoe UI"/>
            <family val="2"/>
          </rPr>
          <t>Enthält alle FK und VP, die an FSR-Mitglieder und Ersatzmitglieder gezahlt werden.</t>
        </r>
      </text>
    </comment>
    <comment ref="D13" authorId="0" shapeId="0">
      <text>
        <r>
          <rPr>
            <b/>
            <sz val="9"/>
            <color indexed="81"/>
            <rFont val="Segoe UI"/>
            <family val="2"/>
          </rPr>
          <t>Alle Raum. Und Unterkunftskosten für Interne. Bedient Sitzungen, Treffen, Reisen in Funktion u.ä.</t>
        </r>
      </text>
    </comment>
    <comment ref="D14" authorId="0" shapeId="0">
      <text>
        <r>
          <rPr>
            <b/>
            <sz val="9"/>
            <color indexed="81"/>
            <rFont val="Segoe UI"/>
            <family val="2"/>
          </rPr>
          <t>Nur "Food", nicht "Non-Food".
Repräsentation: Bspw. Fachschaftskleidung</t>
        </r>
      </text>
    </comment>
    <comment ref="D15" authorId="0" shapeId="0">
      <text>
        <r>
          <rPr>
            <b/>
            <sz val="9"/>
            <color indexed="81"/>
            <rFont val="Segoe UI"/>
            <family val="2"/>
          </rPr>
          <t>Hier nur die Honorare für Dozierende kostenpflichtiger Seminare für Studierende</t>
        </r>
      </text>
    </comment>
    <comment ref="D16" authorId="0" shapeId="0">
      <text>
        <r>
          <rPr>
            <b/>
            <sz val="9"/>
            <color indexed="81"/>
            <rFont val="Segoe UI"/>
            <family val="2"/>
          </rPr>
          <t>Hier alle anderen Honorare für externe Dozierende. Z.B. kostenlose Seminare, Workshops, Vorträge...</t>
        </r>
      </text>
    </comment>
    <comment ref="D17" authorId="0" shapeId="0">
      <text>
        <r>
          <rPr>
            <b/>
            <sz val="9"/>
            <color indexed="81"/>
            <rFont val="Segoe UI"/>
            <family val="2"/>
          </rPr>
          <t>Alle RK-Erstattungen an Externe. Meist Doz. Präsenzseminare und andere Dozierende.</t>
        </r>
      </text>
    </comment>
    <comment ref="D18" authorId="0" shapeId="0">
      <text>
        <r>
          <rPr>
            <b/>
            <sz val="9"/>
            <color indexed="81"/>
            <rFont val="Segoe UI"/>
            <family val="2"/>
          </rPr>
          <t>Kaffee und Kekse für Präsenzseminare.
Ein Kasten Bier.
Empfänge. Wiwi-Eule.</t>
        </r>
      </text>
    </comment>
    <comment ref="D19" authorId="0" shapeId="0">
      <text>
        <r>
          <rPr>
            <b/>
            <sz val="9"/>
            <color indexed="81"/>
            <rFont val="Segoe UI"/>
            <family val="2"/>
          </rPr>
          <t>Unterkunft Doz., kostenpfl. Räume in der BHS oder anderswo.</t>
        </r>
      </text>
    </comment>
    <comment ref="D20" authorId="0" shapeId="0">
      <text>
        <r>
          <rPr>
            <b/>
            <sz val="9"/>
            <color indexed="81"/>
            <rFont val="Segoe UI"/>
            <family val="2"/>
          </rPr>
          <t>Alle Druckkosten</t>
        </r>
      </text>
    </comment>
    <comment ref="D21" authorId="0" shapeId="0">
      <text>
        <r>
          <rPr>
            <b/>
            <sz val="9"/>
            <color indexed="81"/>
            <rFont val="Segoe UI"/>
            <family val="2"/>
          </rPr>
          <t>Auch: Beteiligung an Versandkosten für Sprachrohr-Beilagen, Non-Food, Kleinanschaffungen</t>
        </r>
      </text>
    </comment>
    <comment ref="D22" authorId="0" shapeId="0">
      <text>
        <r>
          <rPr>
            <b/>
            <sz val="9"/>
            <color indexed="81"/>
            <rFont val="Segoe UI"/>
            <family val="2"/>
          </rPr>
          <t>Rechtsangelegenheiten laufen über den AStA und erfordern eine Gegenzeichnung.</t>
        </r>
      </text>
    </comment>
    <comment ref="D32" authorId="0" shapeId="0">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49" authorId="0" shapeId="0">
      <text>
        <r>
          <rPr>
            <b/>
            <sz val="9"/>
            <color indexed="81"/>
            <rFont val="Segoe UI"/>
            <family val="2"/>
          </rPr>
          <t>Alle Maßnahmen, Tätigkeiten, Kleinanschaffungen, Exkursionen und Vergleichbares</t>
        </r>
      </text>
    </comment>
    <comment ref="D67" authorId="0" shapeId="0">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sharedStrings.xml><?xml version="1.0" encoding="utf-8"?>
<sst xmlns="http://schemas.openxmlformats.org/spreadsheetml/2006/main" count="2575" uniqueCount="1372">
  <si>
    <t>Entwurf Haushaltsplan 2022-2023</t>
  </si>
  <si>
    <t>Einnahmen der Studierendenschaft</t>
  </si>
  <si>
    <t>Titel</t>
  </si>
  <si>
    <t>Spalte1</t>
  </si>
  <si>
    <t>Titel alt</t>
  </si>
  <si>
    <t>Kontenbezeichnung</t>
  </si>
  <si>
    <t>SOLL HHJ 22-23</t>
  </si>
  <si>
    <t>SOLL HHJ 21-22</t>
  </si>
  <si>
    <t>IST HHJ 21-22</t>
  </si>
  <si>
    <t>IST</t>
  </si>
  <si>
    <t>Spalte4</t>
  </si>
  <si>
    <t>Anmerkungen</t>
  </si>
  <si>
    <t>Nr.</t>
  </si>
  <si>
    <t>Plan 1</t>
  </si>
  <si>
    <t>Einnahmen AStA und Studierendenparlament</t>
  </si>
  <si>
    <t>111.00</t>
  </si>
  <si>
    <t>Studierendenschaftsbeiträge</t>
  </si>
  <si>
    <t>111.10</t>
  </si>
  <si>
    <t>Wintersemester</t>
  </si>
  <si>
    <t>111.20</t>
  </si>
  <si>
    <t>Sommersemester</t>
  </si>
  <si>
    <t>119.00</t>
  </si>
  <si>
    <t>Vermischte Einnahmen</t>
  </si>
  <si>
    <t>119.10</t>
  </si>
  <si>
    <t>125.10, 125.20</t>
  </si>
  <si>
    <t>Werbung und Anzeigen</t>
  </si>
  <si>
    <t>119.20</t>
  </si>
  <si>
    <t>Spenden</t>
  </si>
  <si>
    <t>Datei Monatsabschluss</t>
  </si>
  <si>
    <t>119.30</t>
  </si>
  <si>
    <t>162.00</t>
  </si>
  <si>
    <t>Zinsen</t>
  </si>
  <si>
    <t>119.40</t>
  </si>
  <si>
    <t>119.22</t>
  </si>
  <si>
    <t>Sonstige</t>
  </si>
  <si>
    <t>129.00</t>
  </si>
  <si>
    <t>Teilnahmebeiträge</t>
  </si>
  <si>
    <t>129.10</t>
  </si>
  <si>
    <t>129.70 (x0,2)</t>
  </si>
  <si>
    <t>AStA Seminare</t>
  </si>
  <si>
    <t>129.20</t>
  </si>
  <si>
    <t>129.70 (x0,8), 129.80 (x0,25), 129.90 (x0,55)</t>
  </si>
  <si>
    <t>AStA-Veranstaltungen</t>
  </si>
  <si>
    <t>129.30</t>
  </si>
  <si>
    <t>n.a.</t>
  </si>
  <si>
    <t>Stupa-Veranstaltungen</t>
  </si>
  <si>
    <t>130.00</t>
  </si>
  <si>
    <t>Einnahmen aus Bewirtung</t>
  </si>
  <si>
    <t>130.10</t>
  </si>
  <si>
    <t>AStA</t>
  </si>
  <si>
    <t>130.20</t>
  </si>
  <si>
    <t>SP-Veranstaltungen</t>
  </si>
  <si>
    <t>140.00</t>
  </si>
  <si>
    <t>Einnahmen aus Förderungen und Kooperationen</t>
  </si>
  <si>
    <t>140.10</t>
  </si>
  <si>
    <t>129.80 (x0,75)</t>
  </si>
  <si>
    <t>Förderungen Inkl. U. Gleichstellung</t>
  </si>
  <si>
    <t>140.20</t>
  </si>
  <si>
    <t>129.90 (x0,45)</t>
  </si>
  <si>
    <t>Förderungen Hopo</t>
  </si>
  <si>
    <t>140.30</t>
  </si>
  <si>
    <t>Sonstige Förderungen und Kooperationen</t>
  </si>
  <si>
    <t>182.00</t>
  </si>
  <si>
    <t>Darlehensrückflüsse</t>
  </si>
  <si>
    <t>182.10</t>
  </si>
  <si>
    <t>Aus Darlehen</t>
  </si>
  <si>
    <t>182.20</t>
  </si>
  <si>
    <t>Aus Internationalisierungsdarlehen</t>
  </si>
  <si>
    <t>Plan 2</t>
  </si>
  <si>
    <t>Einnahmen Fachschaften</t>
  </si>
  <si>
    <t>210.00</t>
  </si>
  <si>
    <t>Teilnahmebeiträge Seminare Fachschaften</t>
  </si>
  <si>
    <t>210.10</t>
  </si>
  <si>
    <t>FSR WiWi</t>
  </si>
  <si>
    <t>210.20</t>
  </si>
  <si>
    <t>FSR KSW</t>
  </si>
  <si>
    <t>210.30</t>
  </si>
  <si>
    <t>129.60</t>
  </si>
  <si>
    <t>FSR PSY</t>
  </si>
  <si>
    <t>210.40</t>
  </si>
  <si>
    <t>129.40</t>
  </si>
  <si>
    <t>FSR ReWi</t>
  </si>
  <si>
    <t>210.50</t>
  </si>
  <si>
    <t>FSR M+I</t>
  </si>
  <si>
    <t>220.00</t>
  </si>
  <si>
    <t>Teilnahmebeiträge Veranstaltungen Fachschaften</t>
  </si>
  <si>
    <t>220.10</t>
  </si>
  <si>
    <t>220.20</t>
  </si>
  <si>
    <t>220.30</t>
  </si>
  <si>
    <t>220.40</t>
  </si>
  <si>
    <t>220.50</t>
  </si>
  <si>
    <t>230.00</t>
  </si>
  <si>
    <t>Sonstige (Werbung, Förderungen, Bewirtung)</t>
  </si>
  <si>
    <t>230.10</t>
  </si>
  <si>
    <t>230.20</t>
  </si>
  <si>
    <t>230.30</t>
  </si>
  <si>
    <t>230.40</t>
  </si>
  <si>
    <t>230.50</t>
  </si>
  <si>
    <t>Plan 3</t>
  </si>
  <si>
    <t>Rücklagen, Vorjahresvortrag, durchlaufende Gelder</t>
  </si>
  <si>
    <t>352.00</t>
  </si>
  <si>
    <t>Entnahmen aus der Rücklage</t>
  </si>
  <si>
    <t>352.10</t>
  </si>
  <si>
    <t>Allgemeine Rücklage</t>
  </si>
  <si>
    <t>352.20</t>
  </si>
  <si>
    <t>353.00</t>
  </si>
  <si>
    <t>Sonderrücklage Wahlen</t>
  </si>
  <si>
    <t>352.30</t>
  </si>
  <si>
    <t>Schwankungsrücklage Wahlen</t>
  </si>
  <si>
    <t>360.00</t>
  </si>
  <si>
    <t>Vorjahresvortrag</t>
  </si>
  <si>
    <t>360.10</t>
  </si>
  <si>
    <t>Überschuss Vorjahr</t>
  </si>
  <si>
    <t>360.20</t>
  </si>
  <si>
    <t>Sonstige Vorträge</t>
  </si>
  <si>
    <t>380.00</t>
  </si>
  <si>
    <t>Kautionen, Durchlaufende Gelder AStA</t>
  </si>
  <si>
    <t>382.10</t>
  </si>
  <si>
    <t>Kautionen Materialverleih</t>
  </si>
  <si>
    <t>382.20</t>
  </si>
  <si>
    <t>Vorverkaufseinnahmen Bewirtung</t>
  </si>
  <si>
    <t>Einnahmen Gesamt</t>
  </si>
  <si>
    <t>Ausgaben</t>
  </si>
  <si>
    <t>Plan 4</t>
  </si>
  <si>
    <t>Personalausgaben und Aufwandsentschädigungen</t>
  </si>
  <si>
    <t>412.00</t>
  </si>
  <si>
    <t>Aufwandsentschädigungen Studierendenvertretung</t>
  </si>
  <si>
    <t>412.10</t>
  </si>
  <si>
    <t>412.20</t>
  </si>
  <si>
    <t>412.30</t>
  </si>
  <si>
    <t>412.40</t>
  </si>
  <si>
    <t>AStA-Beauftragungen</t>
  </si>
  <si>
    <t>412.50</t>
  </si>
  <si>
    <t>412.40, 412.60, 536.10, 538.10, 550.10, 686.11</t>
  </si>
  <si>
    <t>AStA-Veranstaltungen, Gäste, Sonstige</t>
  </si>
  <si>
    <t>413.00</t>
  </si>
  <si>
    <t>Aufwandsentschädigungen Fachschaften</t>
  </si>
  <si>
    <t>413.10</t>
  </si>
  <si>
    <t>413.20</t>
  </si>
  <si>
    <t>413.21</t>
  </si>
  <si>
    <t>Variable AE FSR WiWi</t>
  </si>
  <si>
    <t>413.22</t>
  </si>
  <si>
    <t>686.41 (x0,13)</t>
  </si>
  <si>
    <t>Variable AE FSR KSW</t>
  </si>
  <si>
    <t>413.23</t>
  </si>
  <si>
    <t>686.51 (x0,2)</t>
  </si>
  <si>
    <t>Variable AE FSR PSY</t>
  </si>
  <si>
    <t>413.24</t>
  </si>
  <si>
    <t>686.61 (x0,67)</t>
  </si>
  <si>
    <t>Variable AE FSR ReWi</t>
  </si>
  <si>
    <t>413.25</t>
  </si>
  <si>
    <t>Variable AE FSR M+I</t>
  </si>
  <si>
    <t>413.30</t>
  </si>
  <si>
    <t>686.21</t>
  </si>
  <si>
    <t>FSRK</t>
  </si>
  <si>
    <t>425.00</t>
  </si>
  <si>
    <t>Beschäftigungen AStA</t>
  </si>
  <si>
    <t>425.10</t>
  </si>
  <si>
    <t>425.11</t>
  </si>
  <si>
    <t>Referate</t>
  </si>
  <si>
    <t>425.20</t>
  </si>
  <si>
    <t>Bundesknappschaft</t>
  </si>
  <si>
    <t>425.30</t>
  </si>
  <si>
    <t>425.12</t>
  </si>
  <si>
    <t>Sachkostenpauschale</t>
  </si>
  <si>
    <t>425.40</t>
  </si>
  <si>
    <t>425.14</t>
  </si>
  <si>
    <t>VBG Unfallversicherung AStA</t>
  </si>
  <si>
    <t>428.00</t>
  </si>
  <si>
    <t>Personalausgaben Angestellte</t>
  </si>
  <si>
    <t>428.10</t>
  </si>
  <si>
    <t>425.21, 427.10</t>
  </si>
  <si>
    <t>Gehälter Beschäftigte</t>
  </si>
  <si>
    <t>428.20</t>
  </si>
  <si>
    <t>425.22</t>
  </si>
  <si>
    <t>Steuern</t>
  </si>
  <si>
    <t>428.30</t>
  </si>
  <si>
    <t>425.23, 427.20</t>
  </si>
  <si>
    <t>AG-Anteil Sozialversicherung</t>
  </si>
  <si>
    <t>428.40</t>
  </si>
  <si>
    <t>425.24</t>
  </si>
  <si>
    <t>Betriebsrenten</t>
  </si>
  <si>
    <t>428.50</t>
  </si>
  <si>
    <t>425.26</t>
  </si>
  <si>
    <t>VBG Unfallversicherung Büro</t>
  </si>
  <si>
    <t>430.00</t>
  </si>
  <si>
    <t>Weiterbildung und Sonstige Kosten</t>
  </si>
  <si>
    <t>430.10</t>
  </si>
  <si>
    <t>525.10</t>
  </si>
  <si>
    <t>Angestellte</t>
  </si>
  <si>
    <t>430.20</t>
  </si>
  <si>
    <t>525.30</t>
  </si>
  <si>
    <t>430.30</t>
  </si>
  <si>
    <t>525.20</t>
  </si>
  <si>
    <t>Sonstige Stud.Vertr.</t>
  </si>
  <si>
    <t>430.40</t>
  </si>
  <si>
    <t>Sonstige Kosten Personal</t>
  </si>
  <si>
    <t>Plan 5</t>
  </si>
  <si>
    <t>Sach-, Allgemein- und Veranstaltungsausgaben</t>
  </si>
  <si>
    <t>511.00</t>
  </si>
  <si>
    <t>Geschäftsausgaben</t>
  </si>
  <si>
    <t>511.10</t>
  </si>
  <si>
    <t>511.12, 511.14, 517.21, 517.22</t>
  </si>
  <si>
    <t>Geschäftskosten allgemein, Versicherungen</t>
  </si>
  <si>
    <t>511.20</t>
  </si>
  <si>
    <t>Büromaterial</t>
  </si>
  <si>
    <t>511.30</t>
  </si>
  <si>
    <t>511.17</t>
  </si>
  <si>
    <t>Porto</t>
  </si>
  <si>
    <t>511.40</t>
  </si>
  <si>
    <t>511.11</t>
  </si>
  <si>
    <t>Geldverwaltung und Verwahrgebühren</t>
  </si>
  <si>
    <t>511.60</t>
  </si>
  <si>
    <t>511.41, 511.42</t>
  </si>
  <si>
    <t>Telekommunikation</t>
  </si>
  <si>
    <t>511.70</t>
  </si>
  <si>
    <t>511.44</t>
  </si>
  <si>
    <t>Lizenzen_Ges.</t>
  </si>
  <si>
    <t>511.80</t>
  </si>
  <si>
    <t>511.13, 511.16</t>
  </si>
  <si>
    <t>Publikationen, Bücher, Zeitschriften</t>
  </si>
  <si>
    <t>511.90</t>
  </si>
  <si>
    <t>511.61 (x0,4), 511.43</t>
  </si>
  <si>
    <t>IT-Mieten</t>
  </si>
  <si>
    <t>512.00</t>
  </si>
  <si>
    <t>Anschaffungen, Reparaturen, Renovierungen</t>
  </si>
  <si>
    <t>512.10</t>
  </si>
  <si>
    <t>511.52, 511.53</t>
  </si>
  <si>
    <t>Neuanschaffungen allgemein</t>
  </si>
  <si>
    <t>512.20</t>
  </si>
  <si>
    <t>511.51</t>
  </si>
  <si>
    <t>Neuanschaffungen EDV und Telekommunikation</t>
  </si>
  <si>
    <t>512.40</t>
  </si>
  <si>
    <t>511.62</t>
  </si>
  <si>
    <t>Renovierungen und Instandhaltung</t>
  </si>
  <si>
    <t>527.00</t>
  </si>
  <si>
    <t>Reisekosten intern</t>
  </si>
  <si>
    <t>527.10</t>
  </si>
  <si>
    <t>527.61, 527.62</t>
  </si>
  <si>
    <t>Funktion Unigremien</t>
  </si>
  <si>
    <t>527.20</t>
  </si>
  <si>
    <t>527.21, 527.24, 527.27</t>
  </si>
  <si>
    <t>527.30</t>
  </si>
  <si>
    <t>527.31, 527.51, 527.54, 533.20, 536.11, 538.11, 550.11, 686.12</t>
  </si>
  <si>
    <t>FK und VP AStA-Referate und Gäste</t>
  </si>
  <si>
    <t>527.40</t>
  </si>
  <si>
    <t>Fahrtkosten u. Verpflegungspausch. Fachschaften</t>
  </si>
  <si>
    <t>527.41</t>
  </si>
  <si>
    <t>686.32</t>
  </si>
  <si>
    <t>527.42</t>
  </si>
  <si>
    <t>686.42</t>
  </si>
  <si>
    <t>527.43</t>
  </si>
  <si>
    <t>686.52</t>
  </si>
  <si>
    <t>527.44</t>
  </si>
  <si>
    <t>686.62</t>
  </si>
  <si>
    <t>527.45</t>
  </si>
  <si>
    <t>686.72</t>
  </si>
  <si>
    <t>527.50</t>
  </si>
  <si>
    <t>686.22</t>
  </si>
  <si>
    <t>Fachschaftsrätekonferenz</t>
  </si>
  <si>
    <t>529.00</t>
  </si>
  <si>
    <t>Raum- und Unterkunftskosten intern</t>
  </si>
  <si>
    <t>529.10</t>
  </si>
  <si>
    <t>529.20</t>
  </si>
  <si>
    <t>527.22, 527.23, 527.25, 527.26,527.28, 527.29</t>
  </si>
  <si>
    <t>Studierendenparlament und Ausschüsse</t>
  </si>
  <si>
    <t>prüf</t>
  </si>
  <si>
    <t>529.30</t>
  </si>
  <si>
    <t>527.32, 527.33, 527.52, 527.53, 527.55, 527.56, 550.13, 686.14</t>
  </si>
  <si>
    <t>AStA-Referate und Gäste</t>
  </si>
  <si>
    <t>mehr!</t>
  </si>
  <si>
    <t>529.40</t>
  </si>
  <si>
    <t>Raum- und Unterkunftskosten Fachschaften</t>
  </si>
  <si>
    <t>529.41</t>
  </si>
  <si>
    <t>686.34</t>
  </si>
  <si>
    <t>WiWi</t>
  </si>
  <si>
    <t>fs stimmt immer</t>
  </si>
  <si>
    <t>529.42</t>
  </si>
  <si>
    <t>686.44</t>
  </si>
  <si>
    <t>KSW</t>
  </si>
  <si>
    <t>529.43</t>
  </si>
  <si>
    <t>686.54</t>
  </si>
  <si>
    <t>PSY</t>
  </si>
  <si>
    <t>529.44</t>
  </si>
  <si>
    <t>686.64</t>
  </si>
  <si>
    <t>ReWi</t>
  </si>
  <si>
    <t>529.45</t>
  </si>
  <si>
    <t>686.74</t>
  </si>
  <si>
    <t>M+I</t>
  </si>
  <si>
    <t>529.50</t>
  </si>
  <si>
    <t>686.24</t>
  </si>
  <si>
    <t>531.00</t>
  </si>
  <si>
    <t>Bewirtungs- und Repräsentationskosten Intern</t>
  </si>
  <si>
    <t>531.10</t>
  </si>
  <si>
    <t>531.20</t>
  </si>
  <si>
    <t>AStA-Referate + Gäste</t>
  </si>
  <si>
    <t>531.30</t>
  </si>
  <si>
    <t>Sonstige (Kleinigkeiten in der AStA-Küche, Getränke)</t>
  </si>
  <si>
    <t>531.40</t>
  </si>
  <si>
    <t>Bewirtung und Repräsentation Fachschaften</t>
  </si>
  <si>
    <t>531.41</t>
  </si>
  <si>
    <t>686.35</t>
  </si>
  <si>
    <t>531.42</t>
  </si>
  <si>
    <t>686.45</t>
  </si>
  <si>
    <t>531.43</t>
  </si>
  <si>
    <t>686.55</t>
  </si>
  <si>
    <t>531.44</t>
  </si>
  <si>
    <t>686.65</t>
  </si>
  <si>
    <t>531.45</t>
  </si>
  <si>
    <t>686.75</t>
  </si>
  <si>
    <t>531.50</t>
  </si>
  <si>
    <t>686.25</t>
  </si>
  <si>
    <t>540.00</t>
  </si>
  <si>
    <t>Sprachrohr</t>
  </si>
  <si>
    <t>540.10</t>
  </si>
  <si>
    <t>Druckkosten Sprachrohr</t>
  </si>
  <si>
    <t>540.20</t>
  </si>
  <si>
    <t>Versandkosten Sprachrohr</t>
  </si>
  <si>
    <t>540.30</t>
  </si>
  <si>
    <t>Satz und Lektorat</t>
  </si>
  <si>
    <t>540.60</t>
  </si>
  <si>
    <t>Sonstige Kosten</t>
  </si>
  <si>
    <t>550.00</t>
  </si>
  <si>
    <t>Veranstaltungen, Maßnahmen und Seminare AStA-Referate</t>
  </si>
  <si>
    <t>550.10</t>
  </si>
  <si>
    <t>536.12, 538.12, 550.12 (je x0,1)</t>
  </si>
  <si>
    <t>Honorare Dozierende Fachseminare</t>
  </si>
  <si>
    <t>550.20</t>
  </si>
  <si>
    <t>536.12, 538.12, 550.12 (je x0,7)</t>
  </si>
  <si>
    <t>Andere Honorare</t>
  </si>
  <si>
    <t>24500 Inklusion</t>
  </si>
  <si>
    <t>550.30</t>
  </si>
  <si>
    <t>536.12, 538.12, 550.12 (je x0,2)</t>
  </si>
  <si>
    <t>Externe Reisekosten</t>
  </si>
  <si>
    <t>24000 veranst.</t>
  </si>
  <si>
    <t>550.40</t>
  </si>
  <si>
    <t>532.10, 532.20, 532.30, 533.30, 536.15, 538.15, 550.14, 539.00</t>
  </si>
  <si>
    <t>Bewirtung und Repräsentation</t>
  </si>
  <si>
    <t>550.50</t>
  </si>
  <si>
    <t>533.10, 536.13, 536.14, 538.13, 538.14, 550.15</t>
  </si>
  <si>
    <t>Raum und Unterkunftskosten</t>
  </si>
  <si>
    <t>550.60</t>
  </si>
  <si>
    <t>Druckkosten</t>
  </si>
  <si>
    <t>550.70</t>
  </si>
  <si>
    <t>533.40, 550.16, 546.00</t>
  </si>
  <si>
    <t>551.00</t>
  </si>
  <si>
    <t>Veranstaltungen, Maßnahmen und Seminare Fachschaften</t>
  </si>
  <si>
    <t>551.10</t>
  </si>
  <si>
    <t>551.11</t>
  </si>
  <si>
    <t>686.33 (x0,7)</t>
  </si>
  <si>
    <t>551.12</t>
  </si>
  <si>
    <t>686.43 (x0,7)</t>
  </si>
  <si>
    <t>551.13</t>
  </si>
  <si>
    <t>686.53 (x0,7)</t>
  </si>
  <si>
    <t>551.14</t>
  </si>
  <si>
    <t>686.63 (x0,7)</t>
  </si>
  <si>
    <t>551.15</t>
  </si>
  <si>
    <t>686.73 (x0,7)</t>
  </si>
  <si>
    <t>551.20</t>
  </si>
  <si>
    <t>551.21</t>
  </si>
  <si>
    <t>686.33 (x0,15)</t>
  </si>
  <si>
    <t>551.22</t>
  </si>
  <si>
    <t>686.43 (x0,15)</t>
  </si>
  <si>
    <t>551.23</t>
  </si>
  <si>
    <t>686.53 (x0,15)</t>
  </si>
  <si>
    <t>551.24</t>
  </si>
  <si>
    <t>686.63 (x0,15)</t>
  </si>
  <si>
    <t>551.25</t>
  </si>
  <si>
    <t>686.73 (x0,15)</t>
  </si>
  <si>
    <t>551.30</t>
  </si>
  <si>
    <t>551.31</t>
  </si>
  <si>
    <t>551.32</t>
  </si>
  <si>
    <t>551.33</t>
  </si>
  <si>
    <t>551.34</t>
  </si>
  <si>
    <t>551.35</t>
  </si>
  <si>
    <t>551.40</t>
  </si>
  <si>
    <t>Bewirtung und Repräsentation extern</t>
  </si>
  <si>
    <t>551.41</t>
  </si>
  <si>
    <t>686.37</t>
  </si>
  <si>
    <t>551.42</t>
  </si>
  <si>
    <t>686.47</t>
  </si>
  <si>
    <t>551.43</t>
  </si>
  <si>
    <t>686.57</t>
  </si>
  <si>
    <t>551.44</t>
  </si>
  <si>
    <t>686.67</t>
  </si>
  <si>
    <t>551.55</t>
  </si>
  <si>
    <t>686.77</t>
  </si>
  <si>
    <t>551.50</t>
  </si>
  <si>
    <t>Raum- und Unterkunftskosten extern</t>
  </si>
  <si>
    <t>551.51</t>
  </si>
  <si>
    <t>686.36</t>
  </si>
  <si>
    <t>551.52</t>
  </si>
  <si>
    <t>686.46</t>
  </si>
  <si>
    <t>551.53</t>
  </si>
  <si>
    <t>686.56</t>
  </si>
  <si>
    <t>551.54</t>
  </si>
  <si>
    <t>686.66</t>
  </si>
  <si>
    <t>686.76</t>
  </si>
  <si>
    <t>551.60</t>
  </si>
  <si>
    <t>551.61</t>
  </si>
  <si>
    <t>686.38 (x0,1)</t>
  </si>
  <si>
    <t>551.62</t>
  </si>
  <si>
    <t>686.48 (x0,1)</t>
  </si>
  <si>
    <t>551.63</t>
  </si>
  <si>
    <t>686.58 (x0,1)</t>
  </si>
  <si>
    <t>551.64</t>
  </si>
  <si>
    <t>686.68 (x0,1)</t>
  </si>
  <si>
    <t>551.65</t>
  </si>
  <si>
    <t>686.78 (x0,1)</t>
  </si>
  <si>
    <t>551.70</t>
  </si>
  <si>
    <t>Sonstige Kosten (Lizenzen, Allg. Geschäftsbetrieb)</t>
  </si>
  <si>
    <t>551.71</t>
  </si>
  <si>
    <t>686.38 (x0,9)</t>
  </si>
  <si>
    <t>Hier stimmt die Gruppierung noch nicht, 236-240 sollte noch einzeln gruppierbar sein</t>
  </si>
  <si>
    <t>551.72</t>
  </si>
  <si>
    <t>686.48 (x0,9)</t>
  </si>
  <si>
    <t>551.73</t>
  </si>
  <si>
    <t>686.58 (x0,9)</t>
  </si>
  <si>
    <t>551.74</t>
  </si>
  <si>
    <t>686.68 (x0,9)</t>
  </si>
  <si>
    <t>551.75</t>
  </si>
  <si>
    <t>686.78 (x0,9)</t>
  </si>
  <si>
    <t>560.00</t>
  </si>
  <si>
    <t>Leistungen durch Dritte und Kooperationen</t>
  </si>
  <si>
    <t>560.10</t>
  </si>
  <si>
    <t>526.20</t>
  </si>
  <si>
    <t>Lohnbuchführung</t>
  </si>
  <si>
    <t>560.20</t>
  </si>
  <si>
    <t>526.30</t>
  </si>
  <si>
    <t>Beratungen (Supervision Büro z.B.)</t>
  </si>
  <si>
    <t>560.30</t>
  </si>
  <si>
    <t>511.61 (x0,6), 511.63</t>
  </si>
  <si>
    <t>IT-Dienstleistungen</t>
  </si>
  <si>
    <t>560.40</t>
  </si>
  <si>
    <t>Sonstige Leistungen durch Dritte</t>
  </si>
  <si>
    <t>560.50</t>
  </si>
  <si>
    <t>526.10, 550.17</t>
  </si>
  <si>
    <t>Rechtsanwaltskosten AStA/Stupa</t>
  </si>
  <si>
    <t>560.60</t>
  </si>
  <si>
    <t>Prozesskosten und Gebühren AStA/Stupa</t>
  </si>
  <si>
    <t>560.70</t>
  </si>
  <si>
    <t>686.39, 686.49, 686.59, 686.69, 686.79</t>
  </si>
  <si>
    <t>Rechtskosten Fachschaften</t>
  </si>
  <si>
    <t>Rechtskosten nur mit Gegenzeichnung AStA-Referat</t>
  </si>
  <si>
    <t>560.80</t>
  </si>
  <si>
    <t>Rechtsberatung Studierende</t>
  </si>
  <si>
    <t>580.00</t>
  </si>
  <si>
    <t>Wahlen und Studierendenbefragungen</t>
  </si>
  <si>
    <t>580.10</t>
  </si>
  <si>
    <t>535.11</t>
  </si>
  <si>
    <t>AE fest Wahlen</t>
  </si>
  <si>
    <t>580.20</t>
  </si>
  <si>
    <t>535.12</t>
  </si>
  <si>
    <t>AE variabel Wahlen</t>
  </si>
  <si>
    <t>580.30</t>
  </si>
  <si>
    <t>535.21</t>
  </si>
  <si>
    <t>Fahrtkosten und Verpflegungspauschale Wahlen</t>
  </si>
  <si>
    <t>580.40</t>
  </si>
  <si>
    <t>535.22</t>
  </si>
  <si>
    <t>Raum- und Unterkunftskosten Wahlen</t>
  </si>
  <si>
    <t>580.50</t>
  </si>
  <si>
    <t>535.53 (x0,995)</t>
  </si>
  <si>
    <t>Wahltools und Sonstige Kosten</t>
  </si>
  <si>
    <t>580.60</t>
  </si>
  <si>
    <t>535.52</t>
  </si>
  <si>
    <t>Wahlrohr Druck</t>
  </si>
  <si>
    <t>580.70</t>
  </si>
  <si>
    <t>535.51</t>
  </si>
  <si>
    <t>Wahlrohr Versand</t>
  </si>
  <si>
    <t>580.80</t>
  </si>
  <si>
    <t>535.54</t>
  </si>
  <si>
    <t>Wahlunterlagen Druck</t>
  </si>
  <si>
    <t>580.90</t>
  </si>
  <si>
    <t>535.53 (x0,005)</t>
  </si>
  <si>
    <t>Wahlunterlagen Versand</t>
  </si>
  <si>
    <t>Plan 6</t>
  </si>
  <si>
    <t>Zuschüsse, Mitgliedschaften, BHS</t>
  </si>
  <si>
    <t>681.00</t>
  </si>
  <si>
    <t>Zuschüsse</t>
  </si>
  <si>
    <t>681.10</t>
  </si>
  <si>
    <t>Zuschüsse für studentische Aktivitäten (neu!)</t>
  </si>
  <si>
    <t>681.20</t>
  </si>
  <si>
    <t>Besondere Fachschaftsaktivitäten (neu!)</t>
  </si>
  <si>
    <t>681.30</t>
  </si>
  <si>
    <t>686.81</t>
  </si>
  <si>
    <t>Honorare Lerngruppen</t>
  </si>
  <si>
    <t>681.40</t>
  </si>
  <si>
    <t>686.82</t>
  </si>
  <si>
    <t>Honorare Veranstaltungen Campus</t>
  </si>
  <si>
    <t>681.50</t>
  </si>
  <si>
    <t>686.83</t>
  </si>
  <si>
    <t>Bewirtung und Repräsentation Campus</t>
  </si>
  <si>
    <t>681.60</t>
  </si>
  <si>
    <t>686.13</t>
  </si>
  <si>
    <t>Allg. Betrieb Interessengruppen</t>
  </si>
  <si>
    <t>681.70</t>
  </si>
  <si>
    <t>686.16</t>
  </si>
  <si>
    <t>Rechtsangelegenheiten Interessengruppen</t>
  </si>
  <si>
    <t>681.80</t>
  </si>
  <si>
    <t>686.84</t>
  </si>
  <si>
    <t>685 00</t>
  </si>
  <si>
    <t>Vereins- und Verbandsmitgliedschaften</t>
  </si>
  <si>
    <t>685.10</t>
  </si>
  <si>
    <t>686.17</t>
  </si>
  <si>
    <t>LAT NRW</t>
  </si>
  <si>
    <t>685.20</t>
  </si>
  <si>
    <t>686.18</t>
  </si>
  <si>
    <t>DJH, DAAD</t>
  </si>
  <si>
    <t>690.00</t>
  </si>
  <si>
    <t>BHS-GmbH</t>
  </si>
  <si>
    <t>Ausgleich negativer Cashflow</t>
  </si>
  <si>
    <t>Maßnahmen BHS</t>
  </si>
  <si>
    <t>Plan 8</t>
  </si>
  <si>
    <t>Darlehen</t>
  </si>
  <si>
    <t>860.00</t>
  </si>
  <si>
    <t>Studierende</t>
  </si>
  <si>
    <t>860.10</t>
  </si>
  <si>
    <t>Allgemeine Darlehen</t>
  </si>
  <si>
    <t>860.20</t>
  </si>
  <si>
    <t>861.00</t>
  </si>
  <si>
    <t>Internationalisierungsdarlehen</t>
  </si>
  <si>
    <t>Plan 9</t>
  </si>
  <si>
    <t>Rücklagen</t>
  </si>
  <si>
    <t>919 00</t>
  </si>
  <si>
    <t>Zuführung zu Rücklagen</t>
  </si>
  <si>
    <t>919.10</t>
  </si>
  <si>
    <t>910.00</t>
  </si>
  <si>
    <t>919.20</t>
  </si>
  <si>
    <t>920.00</t>
  </si>
  <si>
    <t>919.30</t>
  </si>
  <si>
    <t>930.00</t>
  </si>
  <si>
    <t>Sonstige Rücklagen</t>
  </si>
  <si>
    <t>Ausgaben Gesamt</t>
  </si>
  <si>
    <t>Bilanz</t>
  </si>
  <si>
    <t>Geldvermögen</t>
  </si>
  <si>
    <t>SOLL 30. Sept. 2022</t>
  </si>
  <si>
    <t>Stand 30. Juli 2022</t>
  </si>
  <si>
    <t>Giroguthaben Commerzbank</t>
  </si>
  <si>
    <t>Barkasse</t>
  </si>
  <si>
    <t>Noch nicht abgerechnete Vorschüsse</t>
  </si>
  <si>
    <t>BHS Vorerfassung</t>
  </si>
  <si>
    <t>SUMME Geldvermögen</t>
  </si>
  <si>
    <t>Aufteilung Geldvermögen</t>
  </si>
  <si>
    <t>Kassenbestand (Einnahmen - Ausgaben)</t>
  </si>
  <si>
    <t>Rücklage AStA Innovative Projekte</t>
  </si>
  <si>
    <t>Sonderrücklagen</t>
  </si>
  <si>
    <t>Rücklage Wahlen</t>
  </si>
  <si>
    <t>SUMME Aufteilung Geldvermögen</t>
  </si>
  <si>
    <t>Verfügbare Mittel</t>
  </si>
  <si>
    <t>./. Betriebsmittelrücklage (§ 12 Abs. 2 HWVO)
 -  5 % Studierendenschaftsbeiträge</t>
  </si>
  <si>
    <t>= freie Mittel</t>
  </si>
  <si>
    <t>./. Rücklage für Wahlen
(Ansatz: 18 % Studierendenschaftsbeiträge)
abzgl. Rücklage Wahlen</t>
  </si>
  <si>
    <t>= ungebundene Mittel</t>
  </si>
  <si>
    <t>HHJ 21-22</t>
  </si>
  <si>
    <t>HHJ 22-23</t>
  </si>
  <si>
    <t>Empfänger</t>
  </si>
  <si>
    <t>Art</t>
  </si>
  <si>
    <t>Höhe p.A.</t>
  </si>
  <si>
    <t>Stupa-Vorsitz</t>
  </si>
  <si>
    <t>fest</t>
  </si>
  <si>
    <t>HHA-Vorsitz</t>
  </si>
  <si>
    <t>AG-Sprecher</t>
  </si>
  <si>
    <t>Gesamt fest</t>
  </si>
  <si>
    <t>Fachschaftsräte</t>
  </si>
  <si>
    <t>pro Fachschaft</t>
  </si>
  <si>
    <t>Vorsitz Stupa</t>
  </si>
  <si>
    <t>variabel</t>
  </si>
  <si>
    <t>Mitglieder Stupa</t>
  </si>
  <si>
    <t>Vorsitz Ausschüsse</t>
  </si>
  <si>
    <t>Mitglieder Ausschüsse</t>
  </si>
  <si>
    <t>Vorsitz Agen</t>
  </si>
  <si>
    <t>Mitglieder Agen</t>
  </si>
  <si>
    <t>Gesamt variabel</t>
  </si>
  <si>
    <t>Ergebnis</t>
  </si>
  <si>
    <t>Datengrundlage:</t>
  </si>
  <si>
    <t>FS var</t>
  </si>
  <si>
    <t>Muster</t>
  </si>
  <si>
    <t>AE</t>
  </si>
  <si>
    <t>Anzahl</t>
  </si>
  <si>
    <t>Gesamt:</t>
  </si>
  <si>
    <t>SP-Sitzung Präsenz (22.08.2020)</t>
  </si>
  <si>
    <t>Online:</t>
  </si>
  <si>
    <t>Freie Mittel (bspw. Sondersitzungen, mehr Präsenz)</t>
  </si>
  <si>
    <t>HHA Präsenz:</t>
  </si>
  <si>
    <t>Kassenprüfung:</t>
  </si>
  <si>
    <t>Freie Mittel:</t>
  </si>
  <si>
    <t>FSR-Sitzung Präsenz</t>
  </si>
  <si>
    <t>Stellenplan</t>
  </si>
  <si>
    <t>AStA-Referate HHJ 21-22</t>
  </si>
  <si>
    <t>Vergütung</t>
  </si>
  <si>
    <t>Knappschaft</t>
  </si>
  <si>
    <t>VBG</t>
  </si>
  <si>
    <t>AStA-Referate HHJ 22-23</t>
  </si>
  <si>
    <t>Rechn. Jahreswert</t>
  </si>
  <si>
    <t>Budget angepasst</t>
  </si>
  <si>
    <t>Stellenplan Personal 01.01.2021 bis 31.12.2021</t>
  </si>
  <si>
    <t>Tarifgruppe</t>
  </si>
  <si>
    <t>Stellenbeschreibung</t>
  </si>
  <si>
    <t>Stellenvolumen</t>
  </si>
  <si>
    <t>Wochenarbeitszeit in
Stunden</t>
  </si>
  <si>
    <t>E 9a</t>
  </si>
  <si>
    <t>Verwaltungsangestellte/r</t>
  </si>
  <si>
    <t>Vollzeitstelle, 39 h 50 min</t>
  </si>
  <si>
    <t>E 9b</t>
  </si>
  <si>
    <t>24 Wochenstunden</t>
  </si>
  <si>
    <t>E 10</t>
  </si>
  <si>
    <t>30 Wochenstunden</t>
  </si>
  <si>
    <t>Summe:</t>
  </si>
  <si>
    <t>Stellenplan Personal ab 01.01.2022</t>
  </si>
  <si>
    <t xml:space="preserve">428.10 </t>
  </si>
  <si>
    <t>Gehälter Büro netto</t>
  </si>
  <si>
    <t>Lohnsteuer/Steuerabzug Personal</t>
  </si>
  <si>
    <t xml:space="preserve">428.30 </t>
  </si>
  <si>
    <t>Sozialversicherung</t>
  </si>
  <si>
    <t>VBL Zusatzversorgung</t>
  </si>
  <si>
    <t>Summe</t>
  </si>
  <si>
    <t>Mieten, Wartung und Lizenzen</t>
  </si>
  <si>
    <t>Mieten HHJ 22-23</t>
  </si>
  <si>
    <t>Vertrag Nr.</t>
  </si>
  <si>
    <t>Vertragsinhalt</t>
  </si>
  <si>
    <t>Vertragspartner</t>
  </si>
  <si>
    <t>Beträge/Budget</t>
  </si>
  <si>
    <t>Laufzeit</t>
  </si>
  <si>
    <t>Webspace mit Domains</t>
  </si>
  <si>
    <t>Neue Medien Münnich</t>
  </si>
  <si>
    <t>Mail Business</t>
  </si>
  <si>
    <t>1&amp;1 IONOS</t>
  </si>
  <si>
    <t>Hardwaremieten</t>
  </si>
  <si>
    <t>edvXpert</t>
  </si>
  <si>
    <t>Frei</t>
  </si>
  <si>
    <t>Gesamt</t>
  </si>
  <si>
    <t>Lizenzen HHJ 22-23</t>
  </si>
  <si>
    <t>Lizenz-Nr.</t>
  </si>
  <si>
    <t>Lizenzinhalt</t>
  </si>
  <si>
    <t>Lizenzgeber</t>
  </si>
  <si>
    <t>Microsoft 365</t>
  </si>
  <si>
    <t>Virenschutz</t>
  </si>
  <si>
    <t>Adobe Creative Cloud 2x &amp; InDesign 1x</t>
  </si>
  <si>
    <t>CCP Software</t>
  </si>
  <si>
    <t>Zoom Meetings Pro 3x</t>
  </si>
  <si>
    <t>Zoom Communications</t>
  </si>
  <si>
    <t>Adobe Connect 1x</t>
  </si>
  <si>
    <t>Reflact AG</t>
  </si>
  <si>
    <t>Freies Budget</t>
  </si>
  <si>
    <t>Anschaffungsplan HHJ 22-23</t>
  </si>
  <si>
    <t>Anschaffungsplan HHJ 21-22</t>
  </si>
  <si>
    <t>Neuanschaffungen Allgemein</t>
  </si>
  <si>
    <t>Betrag</t>
  </si>
  <si>
    <t>Was?</t>
  </si>
  <si>
    <t>Begründung</t>
  </si>
  <si>
    <t>Büromöbel</t>
  </si>
  <si>
    <t>Austausch von Stühlen notwendig</t>
  </si>
  <si>
    <t>Kamera-Lesesystem</t>
  </si>
  <si>
    <t>Inklusion</t>
  </si>
  <si>
    <t>Freie Mittel</t>
  </si>
  <si>
    <t>Neuanschaffungen EDV</t>
  </si>
  <si>
    <t>Gesicherte Dienstlaptops</t>
  </si>
  <si>
    <t xml:space="preserve">ggf. aufgrund von Datenschutzanforderungen </t>
  </si>
  <si>
    <t>Gesicherte Diensthandys</t>
  </si>
  <si>
    <t>Kleinmaßnahmen</t>
  </si>
  <si>
    <t>Anschaffungen und Maßnahmen BHS</t>
  </si>
  <si>
    <t>Rücklagenbildung BHS</t>
  </si>
  <si>
    <t>Verschönerungs- und bauliche Kleinmaßnahmen</t>
  </si>
  <si>
    <t>Wünschenswert</t>
  </si>
  <si>
    <t>Reparatur Aufzug</t>
  </si>
  <si>
    <t>Referatspläne Gesamt</t>
  </si>
  <si>
    <t>Honorare Dozierende</t>
  </si>
  <si>
    <t>Interne Reisekosten</t>
  </si>
  <si>
    <t>Bewirtung/Repräsentation int.</t>
  </si>
  <si>
    <t>Bewirtung/Repräsentation ext.</t>
  </si>
  <si>
    <t>Raum- und Unterkunftskosten int.</t>
  </si>
  <si>
    <t>Raum- und Unterkunftskosten ext.</t>
  </si>
  <si>
    <t>Sonstige Ausgaben</t>
  </si>
  <si>
    <t>Teilnahmebeiträge Seminare</t>
  </si>
  <si>
    <t>Teilnahmebeiträge Veranstaltungen</t>
  </si>
  <si>
    <t>Bewirtung Veranst.</t>
  </si>
  <si>
    <t>Förderungen</t>
  </si>
  <si>
    <t>Kalkulation</t>
  </si>
  <si>
    <t>Referatspläne Im Einzelnen</t>
  </si>
  <si>
    <t xml:space="preserve">Titel:  </t>
  </si>
  <si>
    <t>Referat</t>
  </si>
  <si>
    <t>Vorstand und Digitalisierung</t>
  </si>
  <si>
    <t>Maßnahme 1: Zusammenarbeit mit "Wandercoach" für Veranstaltungen zum Thema Digitalisierung und Auswirkungen auf die Gemeinschaft und Zusammenarbeit. Studierendenvertreter*innen und Interssierte aus allen Fachbereichen</t>
  </si>
  <si>
    <t>Maßnahme 2: Projektgruppe "Nachhaltige Universität"</t>
  </si>
  <si>
    <t>Frei:</t>
  </si>
  <si>
    <t>Teilsumme:</t>
  </si>
  <si>
    <t>Büro und Internationales</t>
  </si>
  <si>
    <t>Maßnahme 1: Teilnahme EADTU in irgendwo, 2 Personen, TN-Beitrag 400 €</t>
  </si>
  <si>
    <t>Maßnahme 2: Umsetzung von Vorschlägen aus Datenschutzaudit</t>
  </si>
  <si>
    <t>Maßnahme 3: Seminar für Studierendenvertreter*innen zum Thema Datenschutz</t>
  </si>
  <si>
    <t>Workshop Internationale Solidarität</t>
  </si>
  <si>
    <t>Inklusion, Gleichstellung und Hochschulsport</t>
  </si>
  <si>
    <t>Maßnahme 1: Jahrestagung Inklusion</t>
  </si>
  <si>
    <t>Maßnahme 2: Seminarreihe Wissenschaftliches Arbeiten (WiSe)</t>
  </si>
  <si>
    <t>Maßnahme 3: Seminarreihe Wissenschaftliches Arbeiten (SoiSe)</t>
  </si>
  <si>
    <t>Maßnahme 4: Seminarreihe Wissenschaftliches Arbeiten mit WORD (WiSe)</t>
  </si>
  <si>
    <t>Maßnahme 5: Seminarreihe Wissenschaftliches Arbeiten mit WORD (SoSe)</t>
  </si>
  <si>
    <t>Einsatz Gebärdendolmetschung/Schriftdolmetschung</t>
  </si>
  <si>
    <t>barrierefreies SprachRohr</t>
  </si>
  <si>
    <t>Workshop Gleichstellung</t>
  </si>
  <si>
    <t>Kinderlernwochen</t>
  </si>
  <si>
    <t>Kinderbetreuung</t>
  </si>
  <si>
    <t>Seminarreihe Wiss. Arbeiten m. WORD für Frauen</t>
  </si>
  <si>
    <t>Hochschulsport</t>
  </si>
  <si>
    <t>Tagung Informationsstelle Studium und Behinderung (Deutsches Studentenwerk)</t>
  </si>
  <si>
    <t>Tagung Fortbildung (Inklusion)</t>
  </si>
  <si>
    <t>Tagung und Fortbildung Gleichstellung</t>
  </si>
  <si>
    <t>Finanzen</t>
  </si>
  <si>
    <t>Maßnahme 1: Projektgruppe Reisekosten- und AE-Reform</t>
  </si>
  <si>
    <t>Maßnahme 2: Technische Aktualisierung von Formularen</t>
  </si>
  <si>
    <t>Soziales und Kultur</t>
  </si>
  <si>
    <t>Kulturelle Angebote für Studierende: Shared Reading, online, 6x</t>
  </si>
  <si>
    <t>Workshop "Trommeln und Trommelbau", Präsenz</t>
  </si>
  <si>
    <t xml:space="preserve">Vorbereitung u ggf. Durchführung einer Kunstausstellung / eines Plakatwettbewerbs unter dem Aspekt „Wie sehen Fernstudierende ihre Uni?“(an den Campusstandorten, Wanderausstellung) </t>
  </si>
  <si>
    <t>Literatur</t>
  </si>
  <si>
    <t>Rechtsangelegenheiten</t>
  </si>
  <si>
    <t>Bürotätigkeit</t>
  </si>
  <si>
    <t>Hochschulpolitik</t>
  </si>
  <si>
    <t>Maßnahme 1: Hopo-Workshop</t>
  </si>
  <si>
    <t>Maßnahme 2: Repräsentation beim LAT</t>
  </si>
  <si>
    <t>Ma0nahme 3: Eine poltische Simulation</t>
  </si>
  <si>
    <t>Projektgruppe Hochschulentwicklungsplan</t>
  </si>
  <si>
    <t>Betreuung JVA und ÖA Print (Sprachrohr)</t>
  </si>
  <si>
    <t>Bedarfe JVAen</t>
  </si>
  <si>
    <t>Referat ÖA Homepage</t>
  </si>
  <si>
    <t>Maßnahme 1: Programmierarbeiten</t>
  </si>
  <si>
    <t>Referat für Lerngruppenförderung</t>
  </si>
  <si>
    <t>Maßnahme 1: Druck Handreichungen für Lerngruppenkoordinator*innen und Versand</t>
  </si>
  <si>
    <t xml:space="preserve">Maßnahme 2: </t>
  </si>
  <si>
    <t>Referat für ÖA Social Media</t>
  </si>
  <si>
    <t xml:space="preserve">Maßnahme 1: Social Media-Präsenz </t>
  </si>
  <si>
    <t>Grafikdesign für Social Media-Kampagne, noch nicht näher beziffert</t>
  </si>
  <si>
    <t>Materialien Öffentlichkeitsarbeit</t>
  </si>
  <si>
    <t>Referat für Lebenslanges Lernen</t>
  </si>
  <si>
    <t>Maßnahme 1: Webinare</t>
  </si>
  <si>
    <t>Maßnahme 2: Literatur</t>
  </si>
  <si>
    <t>Maßnahme 3: Get Together / Konferenz zu Möglichkeiten und Entwicklungen beim LLL</t>
  </si>
  <si>
    <t>Referat für Studium und Betreuung</t>
  </si>
  <si>
    <t>Maßnahme 1: Mental Health Awerness Week in Zusammenarbeit mit Referat ÖA Social Media, Plakatdruck für BHS und Mensa</t>
  </si>
  <si>
    <t>Maßnahme 2: Reisekosten Start-it-Up´s WiSe</t>
  </si>
  <si>
    <t>Maßnahme 3: Reisekosten Start-it-Up´s SoSe</t>
  </si>
  <si>
    <t>Freie Mittel allgemein, u.a. Anreisen zu Bürotätigkeit und Sitzungen:</t>
  </si>
  <si>
    <t>Honorare Doz. Lerngruppen</t>
  </si>
  <si>
    <t>Honorare Seminare Campus</t>
  </si>
  <si>
    <t>(Titel 681.30)</t>
  </si>
  <si>
    <t>(Titel 681.40)</t>
  </si>
  <si>
    <t>(Titel 681.50)</t>
  </si>
  <si>
    <t>Budget Lerngruppen WiSe gem. Anlage</t>
  </si>
  <si>
    <t>Budget Lerngruppen SoSe gem. Anlage</t>
  </si>
  <si>
    <t>Teilergebnis:</t>
  </si>
  <si>
    <t>Budget Seminare WiSe gem. Anlage</t>
  </si>
  <si>
    <t>Budget Start-It-Ups WiSe</t>
  </si>
  <si>
    <t>Budget Seminare SoSe gem. Anlage</t>
  </si>
  <si>
    <t>Budget Start-it-Ups SoSe</t>
  </si>
  <si>
    <t xml:space="preserve">Gesamt:  </t>
  </si>
  <si>
    <t>Leistungen Dritter</t>
  </si>
  <si>
    <t>Vertragsinhalt*</t>
  </si>
  <si>
    <t>* ggf. weitere Ausführungen</t>
  </si>
  <si>
    <t>WETAX</t>
  </si>
  <si>
    <t>IT-Wartungspakete</t>
  </si>
  <si>
    <t>IT-Wartung Personalkosten</t>
  </si>
  <si>
    <t>Drucker Vollservice</t>
  </si>
  <si>
    <t>Kesper</t>
  </si>
  <si>
    <t>Seminarverwaltung</t>
  </si>
  <si>
    <t>Wundercoach</t>
  </si>
  <si>
    <t>HHJ 22-23 - Leistungen Dritter</t>
  </si>
  <si>
    <t>Allgemeine Rechtsberatung Studierende</t>
  </si>
  <si>
    <t>n.N</t>
  </si>
  <si>
    <t>1 Jahr</t>
  </si>
  <si>
    <t>Beratungen zum Haushalt</t>
  </si>
  <si>
    <t>n.N.</t>
  </si>
  <si>
    <t>HHJ 22-23 - IT-Dienstleistungen</t>
  </si>
  <si>
    <t>zzgl. AStA-Referate</t>
  </si>
  <si>
    <t>Diverse</t>
  </si>
  <si>
    <t>Haushaltplan der Fachschaft WiWi</t>
  </si>
  <si>
    <t>-</t>
  </si>
  <si>
    <t>Erläuterung</t>
  </si>
  <si>
    <t>Freie Eingabe Plan HHJ 22-23</t>
  </si>
  <si>
    <t>Rechnung HHJ 22-23</t>
  </si>
  <si>
    <t>Freie Eingabe Plan HHJ 21-22</t>
  </si>
  <si>
    <t>Abschluss 20-21</t>
  </si>
  <si>
    <t>Plan HHJ 20-21</t>
  </si>
  <si>
    <t>Einnahmen</t>
  </si>
  <si>
    <t>Sonstige Einnahmen (Vorauszahlungen Bewirtung, Werbung, …)</t>
  </si>
  <si>
    <t>AE fest (800 € monatlich)</t>
  </si>
  <si>
    <t>AE variabel</t>
  </si>
  <si>
    <t>527 41</t>
  </si>
  <si>
    <t>Fahrtkosten und Verpflegungspauschalen</t>
  </si>
  <si>
    <t>Raum- und Unterkunftskosten</t>
  </si>
  <si>
    <t>Bewirtung und Repräsentation intern</t>
  </si>
  <si>
    <t>Honorare Fachseminare</t>
  </si>
  <si>
    <t>Ext. Reisekosten</t>
  </si>
  <si>
    <t>Raum- und Unterkunftskosten Seminare und Veranst.</t>
  </si>
  <si>
    <t>Bilanz:</t>
  </si>
  <si>
    <t>Deckungsfähigkeiten: Die Ausgaben der Fachschaft sind untereineinander teilweise deckungsfähig.</t>
  </si>
  <si>
    <t xml:space="preserve">Einnahmen über Plan verstärken Gegentitel. Mittel aus den Konten 551.11 bis 551.51 dürfen nicht  zur </t>
  </si>
  <si>
    <t>Deckung von anderen Konten verwendet werden: Keine Verschiebung vom Seminarbetrieb zum Verwaltungsbetrieb.</t>
  </si>
  <si>
    <t>Kommentar beachten!</t>
  </si>
  <si>
    <t>Lfd. Nr.</t>
  </si>
  <si>
    <t>Beschreibung/ Kurzbezeichnung</t>
  </si>
  <si>
    <t>Teilnahmebeiträge Fachseminare</t>
  </si>
  <si>
    <t>Sonstige Einnahmen</t>
  </si>
  <si>
    <t>Repräsentation/Bewirtung extern</t>
  </si>
  <si>
    <t>Raum + Unterkunft extern</t>
  </si>
  <si>
    <t>Maßnahmenplan (vorwiegend intern)</t>
  </si>
  <si>
    <t>Beschreibung</t>
  </si>
  <si>
    <t>Aufwandsentschädigungen</t>
  </si>
  <si>
    <t>Raum + Unterkunft intern</t>
  </si>
  <si>
    <t>Repräsentation/Bewirtung intern</t>
  </si>
  <si>
    <t>Zoom-Lizenz</t>
  </si>
  <si>
    <t>WiWi-Eulen-Verleihung</t>
  </si>
  <si>
    <t>WiWi-Broschüre Nachbearbeitung</t>
  </si>
  <si>
    <t>Bufak (3 Mitglieder, 2x im HHJ)</t>
  </si>
  <si>
    <t>AE-Plan, Reisekosten (Intern)</t>
  </si>
  <si>
    <t xml:space="preserve">Lfd. Nr. </t>
  </si>
  <si>
    <t>Sitzung/Tätigkeit</t>
  </si>
  <si>
    <t>Ort oder Datum (falls bekannt)</t>
  </si>
  <si>
    <t>Fachschaftsratsitzung</t>
  </si>
  <si>
    <t>Hagen</t>
  </si>
  <si>
    <t>Hybrid</t>
  </si>
  <si>
    <t>Auswärtige Fachschaftsratsitzung</t>
  </si>
  <si>
    <t>Regionalzentrum</t>
  </si>
  <si>
    <t>Präsenz</t>
  </si>
  <si>
    <t>*Gesamt je zzgl. Maßnahmenplan!</t>
  </si>
  <si>
    <t>Allg.</t>
  </si>
  <si>
    <t>Haushaltplan der Fachschaft KSW</t>
  </si>
  <si>
    <t>Freie Eingabe Plan 22-23</t>
  </si>
  <si>
    <t>Fachschaftsrat</t>
  </si>
  <si>
    <t>Online</t>
  </si>
  <si>
    <t>Bundesfachschaftstagung 1</t>
  </si>
  <si>
    <t>Bundesfachschaftstagung 2</t>
  </si>
  <si>
    <t>Haushaltplan der Fachschaft Psychologie</t>
  </si>
  <si>
    <t>Lizenzkosten</t>
  </si>
  <si>
    <t>Arbeitsgruppe Evaluation Lehrpreis, 2 Sitzungen, 5 Teilnehmer*innen intern</t>
  </si>
  <si>
    <t>PsyFaKo mit Vorbereitungstreffen</t>
  </si>
  <si>
    <t>Haushaltplan der Fachschaft Rechtswissenschaft</t>
  </si>
  <si>
    <t>Rechtliche Beratung</t>
  </si>
  <si>
    <t>Bundesfachschaftstagung</t>
  </si>
  <si>
    <t>Haushaltplan der Fachschaft M+I</t>
  </si>
  <si>
    <t>Lizenzen</t>
  </si>
  <si>
    <t>Neue Fachschaftshomepage</t>
  </si>
  <si>
    <t>ggf. rechtliche Beratung</t>
  </si>
  <si>
    <t>BuFaK</t>
  </si>
  <si>
    <t>Stellenplan Personal ab 01.10.2022</t>
  </si>
  <si>
    <t>HHJ</t>
  </si>
  <si>
    <t>Nachtrags-HH</t>
  </si>
  <si>
    <t>2020 / 2021</t>
  </si>
  <si>
    <t>2020/2021</t>
  </si>
  <si>
    <t>2021 / 2022</t>
  </si>
  <si>
    <t>Neu</t>
  </si>
  <si>
    <t>Soll</t>
  </si>
  <si>
    <t>Stand</t>
  </si>
  <si>
    <t>Titelbezeichnung</t>
  </si>
  <si>
    <t>SP-Beschluss 10.10.20</t>
  </si>
  <si>
    <t>SP-Beschluss 26.06.21</t>
  </si>
  <si>
    <t>SP-Beschluss 04.09.21</t>
  </si>
  <si>
    <t>31.09.2022</t>
  </si>
  <si>
    <t>119.2</t>
  </si>
  <si>
    <t>119.21</t>
  </si>
  <si>
    <t>Spende</t>
  </si>
  <si>
    <t>sonst. Einnahmen</t>
  </si>
  <si>
    <t>125.10</t>
  </si>
  <si>
    <t>Einnahmen aus kommerz. Anzeigen</t>
  </si>
  <si>
    <t>125.20</t>
  </si>
  <si>
    <t>Einnahmen aus kommerz.Anz.Web+and.</t>
  </si>
  <si>
    <t>129.0</t>
  </si>
  <si>
    <t xml:space="preserve">Einnahmen aus Veranstaltungen </t>
  </si>
  <si>
    <t>Einnahmen aus Veranst. FSR  WiWi</t>
  </si>
  <si>
    <t>Einnahmen aus Veranst. FSR KSW</t>
  </si>
  <si>
    <t>Einnahmen aus Veranst. FSR M+I</t>
  </si>
  <si>
    <t>Einnahmen aus Veranst.  FSR ReWi</t>
  </si>
  <si>
    <t>129.50</t>
  </si>
  <si>
    <t>Einnahmen aus Veranst.Interessengruppen</t>
  </si>
  <si>
    <t>Einnahmen aus Veranst.  FSR Pych</t>
  </si>
  <si>
    <t>129.70</t>
  </si>
  <si>
    <t>Einnahmen aus sonst.AStA-Veranst.</t>
  </si>
  <si>
    <t>129.80</t>
  </si>
  <si>
    <t>Einnahmen aus Veranst.Inklusion+Gleichst.</t>
  </si>
  <si>
    <t>129.90</t>
  </si>
  <si>
    <t>Einnahmen aus Veranst. Hopo</t>
  </si>
  <si>
    <t>Zinsen privatrechtll.Unternehmen</t>
  </si>
  <si>
    <t>Darlehensrückflüsse Studierende</t>
  </si>
  <si>
    <t>SUMME PLAN 1</t>
  </si>
  <si>
    <t>341.00</t>
  </si>
  <si>
    <t>Entnahme aus der Allg. Rücklage</t>
  </si>
  <si>
    <t>Entnahme aus der Sonderrücklage</t>
  </si>
  <si>
    <t>Überschuss des Vorjahres</t>
  </si>
  <si>
    <t>SUMME PLAN 3</t>
  </si>
  <si>
    <t>SUMME Einnahmen</t>
  </si>
  <si>
    <t xml:space="preserve">Sachkostenpauschale AStA  </t>
  </si>
  <si>
    <t xml:space="preserve">Aufwandsentsch. SP </t>
  </si>
  <si>
    <t>AE Mitglieder FernUni - Gremien</t>
  </si>
  <si>
    <t>Aufwandsentsch. AStA-Gäste</t>
  </si>
  <si>
    <t>Aufwandsentsch. SP - Ausschüsse</t>
  </si>
  <si>
    <t>412.60</t>
  </si>
  <si>
    <t>Aufwandsentsch. AStA-PG</t>
  </si>
  <si>
    <t>425.0</t>
  </si>
  <si>
    <t>Personalkosten + AStA-Referate</t>
  </si>
  <si>
    <t>425.1</t>
  </si>
  <si>
    <t>Bezüge AStA-Referate</t>
  </si>
  <si>
    <t>Vergütung AStA-Referate</t>
  </si>
  <si>
    <t>Beiträge Bundesknappschaft</t>
  </si>
  <si>
    <t>425.13</t>
  </si>
  <si>
    <t>sonst. Erstatt. AStA Referate</t>
  </si>
  <si>
    <t>425.2</t>
  </si>
  <si>
    <t>Personalkosten Büro</t>
  </si>
  <si>
    <t>425.21</t>
  </si>
  <si>
    <t>Lohnsteuer/Steuerabzüge Personal</t>
  </si>
  <si>
    <t>425.23</t>
  </si>
  <si>
    <t>Zusatzversorgung VBL</t>
  </si>
  <si>
    <t>425.25</t>
  </si>
  <si>
    <t>sonst. Erstatt. Personal</t>
  </si>
  <si>
    <t>427.0</t>
  </si>
  <si>
    <t>Geringfügig Beschäftigte</t>
  </si>
  <si>
    <t>427.10</t>
  </si>
  <si>
    <t>Gehalt geringf.Beschäftigte</t>
  </si>
  <si>
    <t>427.20</t>
  </si>
  <si>
    <t>Verfügungsmittel Personalrat</t>
  </si>
  <si>
    <t>SUMME PLAN 4</t>
  </si>
  <si>
    <t>511.0</t>
  </si>
  <si>
    <t>Allgem. Geschäftsbedarf</t>
  </si>
  <si>
    <t>Bürobedarf</t>
  </si>
  <si>
    <t>Kontoführung</t>
  </si>
  <si>
    <t>511.12</t>
  </si>
  <si>
    <t>GEZ</t>
  </si>
  <si>
    <t>511.13</t>
  </si>
  <si>
    <t>Publikationen</t>
  </si>
  <si>
    <t>511.14</t>
  </si>
  <si>
    <t>sonst. Geschäftsbedarf</t>
  </si>
  <si>
    <t>511.15</t>
  </si>
  <si>
    <t>534.00</t>
  </si>
  <si>
    <t>Verbrauchsmat.Kopierer+Drucker</t>
  </si>
  <si>
    <t>511.16</t>
  </si>
  <si>
    <t>Bücher, Zeitschriften</t>
  </si>
  <si>
    <t>Briefporto</t>
  </si>
  <si>
    <t>511.4</t>
  </si>
  <si>
    <t>Geschäftsbedarf IT/Telefon</t>
  </si>
  <si>
    <t>511.41</t>
  </si>
  <si>
    <t>Telefongebühren</t>
  </si>
  <si>
    <t>511.42</t>
  </si>
  <si>
    <t>Internet</t>
  </si>
  <si>
    <t>511.43</t>
  </si>
  <si>
    <t>Hosting</t>
  </si>
  <si>
    <t>Sonstiges</t>
  </si>
  <si>
    <t>511.5</t>
  </si>
  <si>
    <t>Geräte,Ausstattung,Ausrüstung</t>
  </si>
  <si>
    <t>IT</t>
  </si>
  <si>
    <t>511.52</t>
  </si>
  <si>
    <t>Büroausstattung/Büromöbel</t>
  </si>
  <si>
    <t>511.53</t>
  </si>
  <si>
    <t>sonstige Ausstattung</t>
  </si>
  <si>
    <t>511.6</t>
  </si>
  <si>
    <t>EDV-Arbeiten / externe Dienstleist.</t>
  </si>
  <si>
    <t>511.61</t>
  </si>
  <si>
    <r>
      <t xml:space="preserve">IT + </t>
    </r>
    <r>
      <rPr>
        <b/>
        <sz val="11"/>
        <color rgb="FFFF0000"/>
        <rFont val="Calibri"/>
        <family val="2"/>
        <scheme val="minor"/>
      </rPr>
      <t>IT-Miete</t>
    </r>
  </si>
  <si>
    <t>Kleinreparaturen u.Instandhalt.</t>
  </si>
  <si>
    <t>511.63</t>
  </si>
  <si>
    <t>sonst. Dienstleistungen</t>
  </si>
  <si>
    <t>517.2</t>
  </si>
  <si>
    <t>Ausgaben für Versicherung</t>
  </si>
  <si>
    <t>517.21</t>
  </si>
  <si>
    <t>Allianz Vers. Betriebshaftpflicht</t>
  </si>
  <si>
    <t>517.22</t>
  </si>
  <si>
    <t>sonst. Versicherungen</t>
  </si>
  <si>
    <t>525.0</t>
  </si>
  <si>
    <t>Qualifizierungsmaßnahmen</t>
  </si>
  <si>
    <t>Qualifizierung Büro</t>
  </si>
  <si>
    <t>Qualifizierung Stupa, Ausschüsse</t>
  </si>
  <si>
    <t>Qualifizierung AStA</t>
  </si>
  <si>
    <t>526.0</t>
  </si>
  <si>
    <t>Rechtsstreitigkeiten+ext.Beratungen</t>
  </si>
  <si>
    <t>526.10</t>
  </si>
  <si>
    <t>Rechtsanwalts-,Verfahrens- u.Gerichtskosten</t>
  </si>
  <si>
    <t>Steuerberatung u.Lohnbuchführung</t>
  </si>
  <si>
    <t>sonst. Beratungen</t>
  </si>
  <si>
    <t>527.0</t>
  </si>
  <si>
    <t>Reisekosten</t>
  </si>
  <si>
    <t>527.1</t>
  </si>
  <si>
    <t>Reisekosten AStA-Büro</t>
  </si>
  <si>
    <t>527.11</t>
  </si>
  <si>
    <t>Fahrtkosten+Verpf. AStA-Büro</t>
  </si>
  <si>
    <t>527.12</t>
  </si>
  <si>
    <t>Raumkosten+sonst. Kosten AStA-Büro</t>
  </si>
  <si>
    <t>527.13</t>
  </si>
  <si>
    <t>Unterkunftskosten AStA-Büro</t>
  </si>
  <si>
    <t>527.2</t>
  </si>
  <si>
    <t>Reisekosten SP+Ausschüsse+Sonstige</t>
  </si>
  <si>
    <t>527.21</t>
  </si>
  <si>
    <t>Fahrtkost.+Verpfl. SP</t>
  </si>
  <si>
    <t>527.22</t>
  </si>
  <si>
    <t>Raumkosten + sonst. Kosten SP</t>
  </si>
  <si>
    <t>527.23</t>
  </si>
  <si>
    <t>Unterkunftskosten SP</t>
  </si>
  <si>
    <t>527.24</t>
  </si>
  <si>
    <t>Fahrtk.+Verpfl. SP Ausschüsse</t>
  </si>
  <si>
    <t>527.25</t>
  </si>
  <si>
    <t>Raumkosten+Sonst.Kosten SP Ausschüsse</t>
  </si>
  <si>
    <t>527.26</t>
  </si>
  <si>
    <t>Unterkunftskosten SP Ausschüsse</t>
  </si>
  <si>
    <t>527.27</t>
  </si>
  <si>
    <t>FK+Verpfl. SP AT + Sonstige</t>
  </si>
  <si>
    <t>527.28</t>
  </si>
  <si>
    <t>Raumkosten+sonst.Kosten SP AT + Sonstige</t>
  </si>
  <si>
    <t>527.29</t>
  </si>
  <si>
    <t>Unterkunftskosten SP AT + Sonstige</t>
  </si>
  <si>
    <t>527.3</t>
  </si>
  <si>
    <t>Reiskosten AStA</t>
  </si>
  <si>
    <t>527.31</t>
  </si>
  <si>
    <t>Fahrtk.+Verpfl. AStA</t>
  </si>
  <si>
    <t>527.32</t>
  </si>
  <si>
    <t>Raumkosten AStA</t>
  </si>
  <si>
    <t>527.33</t>
  </si>
  <si>
    <t>Unterkunftskosten AStA Referate</t>
  </si>
  <si>
    <t>527.5</t>
  </si>
  <si>
    <t>Reisekosten AStA-Gäste + PG + Sonstige</t>
  </si>
  <si>
    <t>527.51</t>
  </si>
  <si>
    <t>Fahrtk.+Verpfl. AStA-Gäste</t>
  </si>
  <si>
    <t>527.52</t>
  </si>
  <si>
    <t>Raum- u. sonst.Kosten AStA-Gäste</t>
  </si>
  <si>
    <t>527.53</t>
  </si>
  <si>
    <t>Unterkunftskosten AStA-Gäste</t>
  </si>
  <si>
    <t>527.54</t>
  </si>
  <si>
    <t>Fahrtk.+Verpfl. AStA PG</t>
  </si>
  <si>
    <t>527.55</t>
  </si>
  <si>
    <t>Raum-+sonst.Kosten AStA PG</t>
  </si>
  <si>
    <t>527.56</t>
  </si>
  <si>
    <t>Unterkunftskosten ASTA PG</t>
  </si>
  <si>
    <t>527.6</t>
  </si>
  <si>
    <t>Reisekosten Unigremien + Sonstige</t>
  </si>
  <si>
    <t>527.61</t>
  </si>
  <si>
    <t>RK Funktion Unigremium</t>
  </si>
  <si>
    <t>527.62</t>
  </si>
  <si>
    <t>RK Sonstige</t>
  </si>
  <si>
    <t>529.0</t>
  </si>
  <si>
    <t>Bewirtungskosten</t>
  </si>
  <si>
    <t>Bewirtung AStA</t>
  </si>
  <si>
    <t>Bewirtung SP</t>
  </si>
  <si>
    <t>Bewirtung Sonstige</t>
  </si>
  <si>
    <t>SprachRohr, and. Publikationen</t>
  </si>
  <si>
    <t>Druckkosten SprRohr</t>
  </si>
  <si>
    <t>Versandkosten SprRohr</t>
  </si>
  <si>
    <t>Satzkosten SprRohr</t>
  </si>
  <si>
    <t>sonst. Kosten SprRohr</t>
  </si>
  <si>
    <t>532.0</t>
  </si>
  <si>
    <t>Ö-Arbeit, Web</t>
  </si>
  <si>
    <t>532.10</t>
  </si>
  <si>
    <t>532.20</t>
  </si>
  <si>
    <t>532.30</t>
  </si>
  <si>
    <t>Webseite</t>
  </si>
  <si>
    <t>533.0</t>
  </si>
  <si>
    <t>Auslandsbeziehungen</t>
  </si>
  <si>
    <t>533.10</t>
  </si>
  <si>
    <t>Hotelkosten Ausland</t>
  </si>
  <si>
    <t>533.20</t>
  </si>
  <si>
    <t>Reisekosten Ausland</t>
  </si>
  <si>
    <t>533.30</t>
  </si>
  <si>
    <t>Teilnahmebeiträge Ausland</t>
  </si>
  <si>
    <t>533.40</t>
  </si>
  <si>
    <t>sonst. Kosten Ausland</t>
  </si>
  <si>
    <t>Ausgaben für Fotokopierservice -alt-</t>
  </si>
  <si>
    <t>535.0</t>
  </si>
  <si>
    <t>Auslagen für Wahlen</t>
  </si>
  <si>
    <t>535.1</t>
  </si>
  <si>
    <t>Aufwandsentschäd. für Wahlen</t>
  </si>
  <si>
    <t>535.2</t>
  </si>
  <si>
    <t>Reisekosten Wahlen</t>
  </si>
  <si>
    <t>Fahrtk. + Verpfl. Wahlen</t>
  </si>
  <si>
    <t>Raum- u. sonst. Kosten Wahlen</t>
  </si>
  <si>
    <t>535.23</t>
  </si>
  <si>
    <t>Unterkunftskosten Wahlen</t>
  </si>
  <si>
    <t>535.5</t>
  </si>
  <si>
    <t>WahlRohr + Wahlunterlagen</t>
  </si>
  <si>
    <t>WahlRohr Versand</t>
  </si>
  <si>
    <t>WahlRohr Druck</t>
  </si>
  <si>
    <t>535.53</t>
  </si>
  <si>
    <t>536.0</t>
  </si>
  <si>
    <t xml:space="preserve">Durchführung von AStA Veranst. </t>
  </si>
  <si>
    <t>536.10</t>
  </si>
  <si>
    <t xml:space="preserve">Aufwandsentsch. AStA Veranst. </t>
  </si>
  <si>
    <t>536.11</t>
  </si>
  <si>
    <t>Fahrtk. + Verpfl. AStA Veranst.</t>
  </si>
  <si>
    <t>536.12</t>
  </si>
  <si>
    <t>Honorare  AStA Veranst. + RK Dozenten</t>
  </si>
  <si>
    <t>536.13</t>
  </si>
  <si>
    <t>Raum- u. sonst. Kosten AStA Veranst.</t>
  </si>
  <si>
    <t>536.14</t>
  </si>
  <si>
    <t>Unterkunftskosten AStA Veranst.</t>
  </si>
  <si>
    <t>536.15</t>
  </si>
  <si>
    <t>Bewirtungskosten AStA Veranst.</t>
  </si>
  <si>
    <t>---</t>
  </si>
  <si>
    <t>Zuschuss Bildungsherberge gGmbH</t>
  </si>
  <si>
    <t>538.0</t>
  </si>
  <si>
    <t>Veranstaltungen Hopo</t>
  </si>
  <si>
    <t>538.10</t>
  </si>
  <si>
    <t>Aufwandsentsch. Hopo</t>
  </si>
  <si>
    <t>538.11</t>
  </si>
  <si>
    <t>Fahrtk. + Verpfl. Hopo</t>
  </si>
  <si>
    <t>538.12</t>
  </si>
  <si>
    <t>Honorare Hopo</t>
  </si>
  <si>
    <t>538.13</t>
  </si>
  <si>
    <t>Raumkosten + sonst. Kosten Hopo</t>
  </si>
  <si>
    <t>538.14</t>
  </si>
  <si>
    <t>Unterkunftskosten Hopo</t>
  </si>
  <si>
    <t>538.15</t>
  </si>
  <si>
    <t>Bewirtungskosten Hopo</t>
  </si>
  <si>
    <t>539.00</t>
  </si>
  <si>
    <t>Verfügungsmittel Personalrat -alt-</t>
  </si>
  <si>
    <t>546.00</t>
  </si>
  <si>
    <t>vermischte Ausgaben</t>
  </si>
  <si>
    <t>550.0</t>
  </si>
  <si>
    <t>Inklusion u. Gleichstellung</t>
  </si>
  <si>
    <t>AE Inkl. u. Gleichstellung</t>
  </si>
  <si>
    <t>550.11</t>
  </si>
  <si>
    <t>Fahrtk.+Verpfl. Inkl.u.Gleichst.</t>
  </si>
  <si>
    <t>550.12</t>
  </si>
  <si>
    <t>Honorare u. RK Doz.+Teiln. Inkl.+Gleichst.</t>
  </si>
  <si>
    <t>550.13</t>
  </si>
  <si>
    <t>Raum-u.Unterk.Sitzungen+Veranst. I+G</t>
  </si>
  <si>
    <t>550.14</t>
  </si>
  <si>
    <t>Bewirtungskosten Sitz./Sem./Veranst. I+G</t>
  </si>
  <si>
    <t>550.15</t>
  </si>
  <si>
    <t>Raumk. Sem. u.Unterk. Doz.+Teiln. I+G</t>
  </si>
  <si>
    <t>550.16</t>
  </si>
  <si>
    <t>sonstige Kosten + Anschaffungen I+G</t>
  </si>
  <si>
    <t>550.17</t>
  </si>
  <si>
    <t>Rechtsangelegenheiten I+G</t>
  </si>
  <si>
    <t>Anschaffungen</t>
  </si>
  <si>
    <t>Ladestation E-Auto</t>
  </si>
  <si>
    <t>Videokonferenzraum</t>
  </si>
  <si>
    <t>SUMME PLAN 5</t>
  </si>
  <si>
    <t>686.0</t>
  </si>
  <si>
    <t>Zuweisung an Dritte u. FS, FSR-Konferenz</t>
  </si>
  <si>
    <t>686.1</t>
  </si>
  <si>
    <t>Unterstützung v. Interessengruppen</t>
  </si>
  <si>
    <t>686.11</t>
  </si>
  <si>
    <t>AE Unterstützung v. Interessengruppen</t>
  </si>
  <si>
    <t>686.12</t>
  </si>
  <si>
    <t>Fahrtk. + Verpfl. Unterst.IG</t>
  </si>
  <si>
    <t>Zuwendungen f. Allg.betrieb Unterst.IG</t>
  </si>
  <si>
    <t>686.14</t>
  </si>
  <si>
    <t>Raum- u. Unterkunftskosten Unterst. IG</t>
  </si>
  <si>
    <t>686.15</t>
  </si>
  <si>
    <t>Bewirtung Unterst. IG</t>
  </si>
  <si>
    <t>Zuwend. Rechtsangelegenh. Unterst. IG</t>
  </si>
  <si>
    <t>Mitgliedsbeiträge LAT</t>
  </si>
  <si>
    <t>Mitgliedsbeiträge DJHW</t>
  </si>
  <si>
    <t>686.2</t>
  </si>
  <si>
    <t>Zuweisung an FSR-Konferenzen</t>
  </si>
  <si>
    <t>Aufwandsentschädigungen FSR-K.</t>
  </si>
  <si>
    <t>Fahrtk.+Verpfl. FSR-Konferenz</t>
  </si>
  <si>
    <t>686.23</t>
  </si>
  <si>
    <t>Honorare FSR-Konf.+RK Dozenten</t>
  </si>
  <si>
    <t>Raum- u. Unterkunftskosten FSR-Konf.</t>
  </si>
  <si>
    <t>Bewirtung FSR-Konf.</t>
  </si>
  <si>
    <t>686.26</t>
  </si>
  <si>
    <t>sonstige Kosten FSR-Konf.</t>
  </si>
  <si>
    <t>686.3</t>
  </si>
  <si>
    <t>Zuweisung an Fachschaft WiWi</t>
  </si>
  <si>
    <t>686.31</t>
  </si>
  <si>
    <t>AE FS WiWi</t>
  </si>
  <si>
    <t>Fahrtk.+Verpfl. FS WiWi</t>
  </si>
  <si>
    <t>686.33</t>
  </si>
  <si>
    <t>Honorare und RK Doz. FS WiWi</t>
  </si>
  <si>
    <t>Raum- u. Unterk.f. Sitz.+Veranst.FS WiWi</t>
  </si>
  <si>
    <t>Bewirtungsk.f. Sitz./Veranst. FS WiWi</t>
  </si>
  <si>
    <t>Raumk. Sem. + Unterk. Doz.+Teiln. FS WiWi</t>
  </si>
  <si>
    <t>Bewirtungsk. Seminare FS WiWi</t>
  </si>
  <si>
    <t>686.38</t>
  </si>
  <si>
    <t>Sonst. Kosten +  Anschaff. FS WiWi</t>
  </si>
  <si>
    <t>686.39</t>
  </si>
  <si>
    <t>Rechtsangelegenheiten FS WiWi</t>
  </si>
  <si>
    <t>686.4</t>
  </si>
  <si>
    <t>Zuweisung an Fachschaft KSW</t>
  </si>
  <si>
    <t>686.41</t>
  </si>
  <si>
    <t>AE FS KSW</t>
  </si>
  <si>
    <t>Fahrtk.+Verpfl. FS KSW</t>
  </si>
  <si>
    <t>686.43</t>
  </si>
  <si>
    <t>Honorare und RK Doz. FS KSW</t>
  </si>
  <si>
    <t>Raum- u. Unterk.f. Sitz.+Veranst.FS KSW</t>
  </si>
  <si>
    <t>Bewirtungsk.f. Sitz./Veranst. FS KSW</t>
  </si>
  <si>
    <t>Raumk. Sem. + Unterk. Doz.+Teiln. FS KSW</t>
  </si>
  <si>
    <t>Bewirtungsk. Seminare FS KSW</t>
  </si>
  <si>
    <t>686.48</t>
  </si>
  <si>
    <t>Sonst. Kosten +  Anschaff. FS KSW</t>
  </si>
  <si>
    <t>686.49</t>
  </si>
  <si>
    <t>Rechtsangelegenheiten FS KSW</t>
  </si>
  <si>
    <t>686.5</t>
  </si>
  <si>
    <t>Zuweisung FS-Psychologie</t>
  </si>
  <si>
    <t>686.51</t>
  </si>
  <si>
    <t>AE FS Psych</t>
  </si>
  <si>
    <t>Fahrtk.+Verpfl. FS Psych</t>
  </si>
  <si>
    <t>686.53</t>
  </si>
  <si>
    <t>Honorare und RK Doz. FS Psych</t>
  </si>
  <si>
    <t>Raum- u. Unterk.f. Sitz.+Veranst.FS Psych</t>
  </si>
  <si>
    <t>Bewirtungsk.f. Sitz./Veranst. FS Psych</t>
  </si>
  <si>
    <t>Raumk. Sem. + Unterk. Doz.+Teiln. FS Psych</t>
  </si>
  <si>
    <t>Bewirtungsk. Seminare FS Psych</t>
  </si>
  <si>
    <t>686.58</t>
  </si>
  <si>
    <t>Sonst. Kosten +  Anschaff. FS Psych</t>
  </si>
  <si>
    <t>686.59</t>
  </si>
  <si>
    <t>Rechtsangelegenheiten FS Psych</t>
  </si>
  <si>
    <t>686.6</t>
  </si>
  <si>
    <t>Zuweisung Fachschaft ReWi</t>
  </si>
  <si>
    <t>686.61</t>
  </si>
  <si>
    <t>AE FS ReWi</t>
  </si>
  <si>
    <t>Fahrtk.+Verpfl. FS ReWi</t>
  </si>
  <si>
    <t>686.63</t>
  </si>
  <si>
    <t>Honorare und RK Doz. FS ReWi</t>
  </si>
  <si>
    <t>Raum- u. Unterk.f. Sitz.+Veranst.FS ReWi</t>
  </si>
  <si>
    <t>Bewirtungsk.f. Sitz./Veranst. FS ReWi</t>
  </si>
  <si>
    <t>Raumk. Sem. + Unterk. Doz.+Teiln. FS ReWi</t>
  </si>
  <si>
    <t>Bewirtungsk. Seminare FS ReWi</t>
  </si>
  <si>
    <t>686.68</t>
  </si>
  <si>
    <t>Sonst. Kosten +  Anschaff. FS ReWi</t>
  </si>
  <si>
    <t>686.69</t>
  </si>
  <si>
    <t>Rechtsangelegenheiten FS ReWi</t>
  </si>
  <si>
    <t>686.7</t>
  </si>
  <si>
    <t>Zuweisung Fachschaft METI</t>
  </si>
  <si>
    <t>686.71</t>
  </si>
  <si>
    <t>AE FS Meti</t>
  </si>
  <si>
    <t>Fahrtk.+Verpfl. FS Meti</t>
  </si>
  <si>
    <t>686.73</t>
  </si>
  <si>
    <t>Honorare und RK Doz. FS Meti</t>
  </si>
  <si>
    <t>Raum- u. Unterk.f. Sitz.+Veranst.FS Meti</t>
  </si>
  <si>
    <t>Bewirtungsk.f. Sitz./Veranst. FS Meti</t>
  </si>
  <si>
    <t>Raumk. Sem. + Unterk. Doz.+Teiln. FS Meti</t>
  </si>
  <si>
    <t>Bewirtungsk. Seminare FS Meti</t>
  </si>
  <si>
    <t>686.78</t>
  </si>
  <si>
    <t>Sonst. Kosten +  Anschaff. FS Meti</t>
  </si>
  <si>
    <t>686.79</t>
  </si>
  <si>
    <t>Rechtsangelegenheiten FS Meti</t>
  </si>
  <si>
    <t>686.8</t>
  </si>
  <si>
    <t>Studienbegleitende Veranstalt.</t>
  </si>
  <si>
    <t>Honorare Veranstalten RZ/StZ</t>
  </si>
  <si>
    <t>Zuschüssen RZ/StZ</t>
  </si>
  <si>
    <t>Sonstige Kosten RZ/StZ</t>
  </si>
  <si>
    <t>SUMME PLAN 6</t>
  </si>
  <si>
    <t>Darlehen an Studierende</t>
  </si>
  <si>
    <t>Darlehen für Auslandssemester</t>
  </si>
  <si>
    <t>SUMME PLAN 8</t>
  </si>
  <si>
    <t xml:space="preserve">Zuführung zur Rücklage </t>
  </si>
  <si>
    <t xml:space="preserve">Zuführung Sonderrücklage </t>
  </si>
  <si>
    <t>Zuführung zur Rücklage AStA Innovative Projekte</t>
  </si>
  <si>
    <t>SUMME PLAN 9</t>
  </si>
  <si>
    <t>SUMME Ausgaben</t>
  </si>
  <si>
    <t>Ergebnis (Einnahmen - Ausgaben)</t>
  </si>
  <si>
    <t>Soll zum 30.09.21</t>
  </si>
  <si>
    <t>Soll zum 30.09.22</t>
  </si>
  <si>
    <t>Rücklagen AStA Innovative Projekte</t>
  </si>
  <si>
    <t>./. Betriebsmittelrücklage (§12 Abs.2 HWVO)</t>
  </si>
  <si>
    <t>./. 5% Studierendenschaftsbeiträge</t>
  </si>
  <si>
    <t>freie Mittel</t>
  </si>
  <si>
    <t>./. Rücklagen für Wahlen (Ansatz: 18% Studierendenschaftsbeiträge)</t>
  </si>
  <si>
    <t>ungebundene Mittel</t>
  </si>
  <si>
    <t>412.20 (x0,4), 412.50 (x0,6)</t>
  </si>
  <si>
    <t>412.20 (x0,6), 412.50 (x0,4)</t>
  </si>
  <si>
    <t>425.13, 425.25, 527.11, 527.12, 527.13</t>
  </si>
  <si>
    <t>686.35 (x0,1)</t>
  </si>
  <si>
    <t>686.35 (x0,9), 686.37</t>
  </si>
  <si>
    <t>686.84, 686.23, 686.26</t>
  </si>
  <si>
    <t>341.00 (x1)</t>
  </si>
  <si>
    <t>341.00 (x0)</t>
  </si>
  <si>
    <t>527 42</t>
  </si>
  <si>
    <t>527 43</t>
  </si>
  <si>
    <t>527 44</t>
  </si>
  <si>
    <t>527 45</t>
  </si>
  <si>
    <t>551.45</t>
  </si>
  <si>
    <t>686.31 (x0,48)</t>
  </si>
  <si>
    <t>686.31 (x0,52), 686.41 (x0,87), 686.51 (x0,8), 686.61 (x0,33), 686.71 (x0,26)</t>
  </si>
  <si>
    <t>Variable AE Fachschaften (§ 44 d. Satzung)</t>
  </si>
  <si>
    <t>Variable AE Stupa, Ausschüsse, Arbeitsgruppen (§ 44 d. Satzung)</t>
  </si>
  <si>
    <t>Fernuni-Gremien (§ 44 d. Satzung)</t>
  </si>
  <si>
    <t>AStA-Veranstaltungen, Gäste, Sonstige (§ 44. d. Satzung)</t>
  </si>
  <si>
    <t>Fest-AE SP-Vorsitz, HHA-Vorsitz, AG-Sprecher (§ 43 d. Satzung)</t>
  </si>
  <si>
    <t>Fest-AE Fachschaften (Fester Wert, 5*800*12) (§ 43 d. Satzung)</t>
  </si>
  <si>
    <t>Fahrtkosten u. Verpfl.-Pauschale Stupa u. Ausschüsse</t>
  </si>
  <si>
    <t>SOLL Vorjahr</t>
  </si>
  <si>
    <t>Ich höre nichts!</t>
  </si>
  <si>
    <t>Spalte F hier sollte möglichst ausgefüllt werden mit Spalte F in HHJ_2021_2022</t>
  </si>
  <si>
    <t>NHH Vorjahr</t>
  </si>
  <si>
    <t>IST HHJ 20-21</t>
  </si>
  <si>
    <t>Spalte H hier &lt;-&gt; Spalte C dort</t>
  </si>
  <si>
    <t>Spalte I hier &lt;--&gt; Spalte D dort</t>
  </si>
  <si>
    <t>J hier &lt;-&gt; E dort</t>
  </si>
  <si>
    <t>Spalte G hier soll ausgefüllt werden mit Spalte R oder S dort</t>
  </si>
  <si>
    <t>S noch leer.</t>
  </si>
  <si>
    <t>686.71 (x0,74)</t>
  </si>
  <si>
    <t>511.10,  511.15</t>
  </si>
  <si>
    <t>690.00 (x0,685)</t>
  </si>
  <si>
    <t>690.00 (x0,315)</t>
  </si>
  <si>
    <t>Verwaltungs- und Druckkosten</t>
  </si>
  <si>
    <t>Seminarplan</t>
  </si>
  <si>
    <t xml:space="preserve">Fachschaftsratsitzung: Online: 8 TN a 8 Stunden, davon 6x 40 € (halbiert) und 2x 80 € AE (unhalbiert); Präsenz: Ein Wochenende eintägige Sitzung, 8 TN, davon 6x 90 € AE (halbiert) und 2x 180 € AE (unhalbiert). 8 Anreisen, 12 Übernachtungen (BHS: 32 €/Nacht); Hybrid: Mittelwert </t>
  </si>
  <si>
    <t>Fachschaftsratsitzung 3x</t>
  </si>
  <si>
    <t>Sitzungen und Treffen von Arbeitsgruppen für zweckgebundene Zusammenarbeit unterhalb von Fachschaftssitzungen je nach Beschluss des FSR</t>
  </si>
  <si>
    <t>Seminarbetreuung</t>
  </si>
  <si>
    <r>
      <t xml:space="preserve">10 Präsenzseminare zu den Grundlagen Mathe und Statistik zu je 17,75 Stunden. Es werden neben dem Honorar (siehe obige Ausführungen) folgende Kosten der Dozierenden pro Seminar erwartet: 100 € Fahrtkosten, 200 € Unterkunftskosten. Bewirtung: Sozialadäquate Kleinigkeiten unterhalb einer Mahlzeit: 30 €/Seminar.  </t>
    </r>
    <r>
      <rPr>
        <b/>
        <sz val="11"/>
        <rFont val="Calibri"/>
        <family val="2"/>
        <scheme val="minor"/>
      </rPr>
      <t>Seminarbetreuung:</t>
    </r>
    <r>
      <rPr>
        <sz val="11"/>
        <rFont val="Calibri"/>
        <family val="2"/>
        <scheme val="minor"/>
      </rPr>
      <t xml:space="preserve"> AE: 120 €/Seminar zzgl. Reisekosten und Unterkunft: 100 €/Seminar. Hieraus ergibt sich ein Teilnahmebeitrag iHv. 90 € pP bei erwarteten 15 TN.</t>
    </r>
  </si>
  <si>
    <t>Verwaltungs- und Druckkosten Seminare</t>
  </si>
  <si>
    <r>
      <rPr>
        <b/>
        <sz val="8"/>
        <color theme="1"/>
        <rFont val="Calibri"/>
        <family val="2"/>
        <scheme val="minor"/>
      </rPr>
      <t>Kontenerklärung:</t>
    </r>
    <r>
      <rPr>
        <sz val="8"/>
        <color theme="1"/>
        <rFont val="Calibri"/>
        <family val="2"/>
        <scheme val="minor"/>
      </rPr>
      <t xml:space="preserve"> Den angegebenen Werten liegt ein Seminar-Rahmenplan der Fachschaft zugrunde. Es handelt sich um Budgetierungen. Im Rahmen dieser Budgets können die Fachschaften unter Beachtung des vom Studierendenparlament vorgegebenen Rahmen und den Vorschriften den HWVO mit Dozierenden Honorare in Höhe von 35 bis 65 € pro Zeitstunde aushandeln. Durch buchhalterische Verfahren wird sichergestellt, dass die Seminare weder Gewinne noch Verluste produzieren: Jedes Seminar wird hierzu in einem buchhalterischen Nebenkonto einzeln erfasst inklusive Neben- und  Verwaltungskosten, so dass für jedes einzelne Seminar Einnahmen und Ausgaben auswertbar gemacht werden. Hierdurch wird ermöglicht, etwaige Gewinne an die Teilnehmer*innen zurückzugeben oder bei Verlusten nachzufordern, so dass keine Studierendengelder für Nachhilfe verwendet werden. Von Nachforderungen und Rückerstattungen wird abgesehen, wenn der Betrag pro Teilnehmer nicht 5 € erreicht.</t>
    </r>
  </si>
  <si>
    <t>Seminarplan (vorwiegend extern)</t>
  </si>
  <si>
    <t>Mit Erhöhung EG und WAZ HHJ 2022/2023</t>
  </si>
  <si>
    <t>Dez 22 Tariferhöhung</t>
  </si>
  <si>
    <t>Oktober bis Dezember 2022</t>
  </si>
  <si>
    <t>E9b Stufe 5</t>
  </si>
  <si>
    <t>28 Stunden</t>
  </si>
  <si>
    <t>E10 Stufe 2</t>
  </si>
  <si>
    <t>39 Stunden 50 Minuten</t>
  </si>
  <si>
    <t>E10 Stufe 6</t>
  </si>
  <si>
    <t>30 Stunden</t>
  </si>
  <si>
    <t>E9a Stufe 3</t>
  </si>
  <si>
    <t>Gesamtsumme Oktober bis Dezember 2022 inkl. Einmalzahlung</t>
  </si>
  <si>
    <t xml:space="preserve">IST </t>
  </si>
  <si>
    <t>Januar bis September 2023</t>
  </si>
  <si>
    <t>Evtl. steuerliche o.a. gesetzl.</t>
  </si>
  <si>
    <t>Änderungen sind in diesem Zeitraum</t>
  </si>
  <si>
    <t>nicht berücksichtigt, da nicht bekannt</t>
  </si>
  <si>
    <t>Gesamt brutto inkl AG-Kosten HHJ 2022/2023</t>
  </si>
  <si>
    <t>*Dieser Betrag berücksichtigt eventuelle Sonderzahlungen durch staatliche Entlastungspakete</t>
  </si>
  <si>
    <t>Summe*</t>
  </si>
  <si>
    <t xml:space="preserve">Fachschaftsratsitzung: Online: 7 TN a 3 Stunden, davon 5x 20 € (halbiert) und 2x 40 € AE (unhalbiert); </t>
  </si>
  <si>
    <t>4 Online-Seminare zum Verwaltungsrecht wie oben bei Strafrecht</t>
  </si>
  <si>
    <t>4 Online-Seminare zum Arbeitsvertrags- und Unternehmensrecht wie oben bei Strafrecht</t>
  </si>
  <si>
    <t>5 Klausuren- und Hausarbeitskurse, wie oben beim Strafrecht</t>
  </si>
  <si>
    <t>4 Online-Seminare zum BGB-Sachenrecht. Es wird mit einem durchschnittlichen Honorar iHv. 60 € / Std. gerechnet. Es werden etwa 20 Teilnehmer*innen pro Seminar erwartet, woraus sich ein TN-Beitrag von ca. 48,50 € ergibt. Ansonsten gilt das Obige.</t>
  </si>
  <si>
    <t>5 Online-Seminare zum Strafrecht im Umfang von je ca. 14,5 Std. Es wird mit einem durchschnittlichen Honorar von 55 € gerechnet. Erwartet werden etwa 15 Teilnehmer*innen pro Seminar, woraus sich ein TN-Beitrag von ca. 58,50 € ergibt. Ansonsten gilt das Obige.</t>
  </si>
  <si>
    <t>Honorare für kostenfreie, allgemeine Vorträge</t>
  </si>
  <si>
    <t>Stand 30.09.22</t>
  </si>
  <si>
    <t>wundercoach</t>
  </si>
  <si>
    <t>Lizenzkosten Zoom und wundercoach</t>
  </si>
  <si>
    <t>3 Online-Seminare zu lehrgebietsspezifischen Themen der Fakultät, noch nicht näher benannt. Die Planung orientiert sich an den obigen Seminaren zu Qualitativen und Quantitativen Methoden.</t>
  </si>
  <si>
    <t>4 Online-Seminare zu Quantitativen und Qualitativen Methoden zu je 14 Stunden.  Es liegen keine Erfahrungswerte bzgl. erforderlichen Honorare und Teilnahmen vor. Es werden aber 55 €/Std. für Dozierende erwartet und 20 Teilnehmer*innen angestrebt, woraus sich ein TN-Beitrag von ca. 45 € ergibt.</t>
  </si>
  <si>
    <t>2x Online-Workshop Kommunikation für alle Fakultäten</t>
  </si>
  <si>
    <t>2x Workshop MS Word für alle Fakultäten</t>
  </si>
  <si>
    <t xml:space="preserve">Fachschaftsratsitzung: Online: 8 TN a 4 Stunden, davon 6x 20 € (halbiert) und 2x 40 € AE (unhalbiert); Präsenz: Ein Wochenende eintägige Sitzung, 8 TN, davon 6x 90 € AE (halbiert) und 2x 180 € AE (unhalbiert). 8 Anreisen, 12 Übernachtungen (BHS: 32 €/Nacht); Hybrid: Mittelwert </t>
  </si>
  <si>
    <t>Fachschaftsratssitzung 4x</t>
  </si>
  <si>
    <t>Fachschaftsratssitzung 2x</t>
  </si>
  <si>
    <t>Arbeitsgruppe Lehrpreis und Qualitätsverbesserung: 4 TN, 3 Sitzungen a 4 Std., AE je 3x 20 €, 1x 40 €</t>
  </si>
  <si>
    <t>Fachschaftsrätekonferenz: 4 TN, ein Wochenende, AE ca. 80 € pP, RK ca. 80 pP., 8 Übernachtungen BHS a 32 €</t>
  </si>
  <si>
    <t>Klausurtagung, Team building: 5 TN, ein Wochenende, sonst wie FSRK, 10 Übernachtungen BHS, Seminarraum klein BHS: 200 €</t>
  </si>
  <si>
    <t>Interne Schulung in der BHS, ein Wochenende, 5 TN, 8 Übernachtungen</t>
  </si>
  <si>
    <t>Online-Aufbaukurs VBA, 3-teilig a 14,5 Std. Es wird mit einem durchschnittlichen Honorar von 55 € gerechnet. Hinsichtlich TN-Zahlen gibt es keine Erfahrungswerte, angestrebt werden 10 TN pro Seminar, woraus sich ein TN-Beitrag iHv. etwa 88 € ergibt.</t>
  </si>
  <si>
    <t>12 Online-Seminare "Java Bootcamp" a 16 Stunden. Honorar: Es wird mit einem Durchschnitt von 55 €/Std. gerechnet. Erwartet werden je ca. 10 Teilnehmer*innen, woraus sich ein TN-Beitrag iHv. 96,50 € ergibt.</t>
  </si>
  <si>
    <t>Basiskalkulationen: Anteilige Aufwandsentschädigung Seminarkoordination: 50% der jährlichen Bezüge, i.e.: 960 € durch Anzahl der Seminare. Hier 21, ergibt gerundet 45,50 € AE pro Seminar. Es werden mit den Dozierenden je nach Qualifikation und Anforderungen Honorare zwischen 35 und 65 € entsprechend dem Rahmenbeschluss des SP ausgehandelt. Grundsätzlich wird sich hier am Rahmen der Entlohnung von Dozierenden an der FernUni bewegt. Werbungskosten: 65 € = 5 €/Seminar; Verwaltungskosten: 3 € pro Teilnehmer; Zoom: Anteilig ca. 100 €/Jahr = 5 €/Seminar</t>
  </si>
  <si>
    <t>Basiskalkulationen: Anteilige Aufwandsentschädigungen Seminarkoordination  50% der jährlichen Bezüge, i.e.: 960 € durch Anzahl der Seminare. Hier 30, ergibt gerundet 32 € AE pro Seminar.  Es werden mit den Dozierenden je nach Qualifikation und Anforderungen Honorare zwischen 35 und 65 € entsprechend dem Rahmenbeschluss des SP ausgehandelt. Grundsätzlich wird sich hier am Rahmen der Entlohnung von Dozierenden an der FernUni bewegt. Anteilige Kosten Seminarportal wundercoach: 1.200 €/Jahr = 40 €/Seminar; Werbungskosten: 150 € = 5 €/Seminar; Verwaltungskosten: 3 € pro Teilnehmer; Zoom/Adobe: 100 €/Jahr =  3 €/Seminar</t>
  </si>
  <si>
    <t xml:space="preserve">8 Online-Seminare zum BGB-Schuldrecht. Umfang etwa 14,5 Stunden.  Es wird mit einem Durchschnitt von 55 €/Std. gerechnet. Erwartet werden etwa 20 Teilnehmer*innen pro Seminar, woraus sich ein TN-Beitrag von ca. 45 € ergibt. </t>
  </si>
  <si>
    <t>Basiskalkulationen: Anteilige Aufwandsentschädigungen Seminarkoordination: 50% der jährlichen Bezüge, i.e.:  1.200 € durch Anzahl der Seminare. Hier 28, ergibt gerundet 43 € AE pro Seminar.  Es werden mit den Dozierenden je nach Qualifikation und Anforderungen Honorare zwischen 35 und 65 € entsprechend dem Rahmenbeschluss des SP ausgehandelt. Grundsätzlich wird sich hier am Rahmen der Entlohnung von Dozierenden an der FernUni bewegt. Verwaltungskosten: 1 € pro Teilnehmer, niedrig angesetzt aufgrund einer Vielzahl gleichartiger Fälle aufgrund hoher TN-Zahlen</t>
  </si>
  <si>
    <t xml:space="preserve">4 Online-Seminare zum Thema Statistik für Master Studierende zu je 12 Std.; Honorar: Es wird mit einem Durchschnitt von 45 €/Std. gerechnet. Erwartet werden etwa 40 Teilnehmer*innen pro Seminar, woraus sich ein TN-Beitrag von 15,60 € ergibt. </t>
  </si>
  <si>
    <t xml:space="preserve">6 Online-Seminare zum Thema Test- &amp; Fragebogenkonstruktion zu je 17 Std.; Honorar:  Es wird mit einem Durchschnitt von 45 €/Std. gerechnet. Erwartet werden etwa 90 Teilnehmer*innen pro Seminar, woraus sich ein TN-Beitrag von 10,00 € ergibt. </t>
  </si>
  <si>
    <t xml:space="preserve">6 Online-Seminare zum Thema Statistik zu je 17 Std.; Honorar: Es wird mit einem Durchschnitt von 45 €/Std. gerechnet. Erwartet werden etwa 90 Teilnehmer*innen pro Seminar, woraus sich ein TN-Beitrag von 10,00 € ergibt. </t>
  </si>
  <si>
    <t xml:space="preserve">8 Online Crash-Seminare zum Thema Statistik zu je 20 Std.; Honorar: Es wird mit einem Durchschnitt von 45 €/Std. gerechnet. Erwartet werden etwa 90 Teilnehmer*innen pro Seminar, woraus sich ein TN-Beitrag von 11,50 € ergibt. </t>
  </si>
  <si>
    <t xml:space="preserve">4 Online-Crash-Seminare zum Thema Test- &amp; Fragebogenkonstruktion zu je 20 Std.; Honorar: Es wird mit einem Durchschnitt von 45 €/Std. gerechnet. Erwartet werden etwa 90 Teilnehmer*innen pro Seminar, woraus sich ein TN-Beitrag von 11,50 € ergibt. </t>
  </si>
  <si>
    <t>5 Online-Seminare zum Wissenschaftlichen Arbeiten für alle Fakultäten zu je 8 Std. Es wird mit einem Durchschnitt von 55 €/Std. gerechnet. Erwartet werden etwa 30 Teilnehmer*innen pro Seminar, woraus sich ein TN-Beitrag von ca. 19,50 € ergibt.</t>
  </si>
  <si>
    <t>Basiskalkulationen: Anteilige Aufwandsentschädigung Seminarkoordination: 50% der jährlichen Bezüge, i.e.: 750 € durch Anzahl der Seminare. Hier 12, ergibt gerundet 62,50 € AE pro Seminar.  Es werden mit den Dozierenden je nach Qualifikation und Anforderungen Honorare zwischen 35 und 65 € entsprechend dem Rahmenbeschluss des SP ausgehandelt. Grundsätzlich wird sich hier am Rahmen der Entlohnung von Dozierenden an der FernUni bewegt. Anteilige Kosten Seminarportal wundercoach: 900 €/Jahr = 75/Seminar; Werbungskosten: 120 € = 10 €/Seminar; Verwaltungskosten: 2 € pro Teilnehmer bei Seminaren über 30 TN, sonst 3 €; Zoom: Anteilig ca. 100 €/Jahr = 8 €/Seminar</t>
  </si>
  <si>
    <t>Basiskalkulationen: Anteilige Aufwandsentschädigungen Seminarkoordination und Öffentlichkeitsarbeit: Je 50% der jährlichen Bezüge, i.e.: Je 1.200 € durch Anzahl der Seminare. Hier 54, ergibt gerundet 45 € AE pro Seminar.  Es werden mit den Dozierenden je nach Qualifikation und Anforderungen Honorare zwischen 35 und 65 € entsprechend dem Rahmenbeschluss des SP ausgehandelt. Grundsätzlich wird sich hier am Rahmen der Entlohnung von Dozierenden an der FernUni bewegt. Anteilige Kosten Seminarportal wundercoach: 1.200 €/Jahr = 22,50/Seminar; Werbungskosten: 500 € = 9,50/Seminar; Verwaltungskosten: 3 € pro Teilnehmer; Zoom: Anteilig ca. 100 €/Jahr = 2 €/Seminar</t>
  </si>
  <si>
    <t xml:space="preserve">12 Online-Seminare zum Thema Öffentliche Ausgaben zu je 17.75 Std.; Honorar:  Es wird mit einem Durchschnitt von 45 €/Std. gerechnet. Erwartet werden etwa 15 Teilnehmer*innen pro Seminar, woraus sich ein TN-Beitrag von 60 € ergibt. </t>
  </si>
  <si>
    <t>12 Online-Seminare zu den Themengebieten Rechnungswesen, Rechnungslegung und Controlling. Ansonsten gelten die obigen Ausführungen.</t>
  </si>
  <si>
    <t>10 Online-Seminare zu den Themengebieten Einführung in die Wiwi, Mikro- und Makroökonomik, Markt und Staat und Finanzwirtschaft. Ansonsten gelten die obigen Ausführungen</t>
  </si>
  <si>
    <t>10 Online-Seminare zu den Themen Investition und Finanzierung, Finanzintermediation und Bankmanagement, Finanzintermediation und Bankmanagement, Preisbildung auf unvollkommenen Märkten, Modellierung von Informationssystemen, Einführung in die objektorientierte Programmierung. Ansonsten gelten die obigen Ausführungen</t>
  </si>
  <si>
    <t>5 Online Seminare SQL zu je 8 Std. Es wird mit durchschnittlichen Honorarkosten von 55 € gerechnet. Erfahrungswerte zu Teilnahmezahlen sind nicht vorhanden, angestrebt wird eine Teilnahme von 10 TN pro Seminar, woraus sich ein TN-Beitrag von etwa 52 € pP ergibt.</t>
  </si>
  <si>
    <t xml:space="preserve">Fachschaftsratsitzung: Online: 6 TN a 4 Stunden, davon 4x 20 € (halbiert) und 2x 40 € AE (unhalbiert); Präsenz: Ein Wochenende eintägige Sitzung, 6 TN, davon 4x 90 € AE (halbiert) und 2x 180 € AE (unhalbiert). 6 Anreisen, 10 Übernachtungen (BHS: 32 €/Nacht); Hybrid: Mittelwert </t>
  </si>
  <si>
    <t>Fachschaftsratssitzung 5x</t>
  </si>
  <si>
    <t>Fachschaftsratssitzuung 1x</t>
  </si>
  <si>
    <r>
      <rPr>
        <b/>
        <sz val="10"/>
        <color theme="1"/>
        <rFont val="Calibri"/>
        <family val="2"/>
        <scheme val="minor"/>
      </rPr>
      <t xml:space="preserve">Kontenerklärung: </t>
    </r>
    <r>
      <rPr>
        <sz val="10"/>
        <color theme="1"/>
        <rFont val="Calibri"/>
        <family val="2"/>
        <scheme val="minor"/>
      </rPr>
      <t>Siehe Blatt WiWi an gleicher Stelle</t>
    </r>
  </si>
  <si>
    <t>Barrierearmut, Ausgleich von Vorjahreskosten</t>
  </si>
  <si>
    <t>z.B. kleine (Schönheits)Reparaturen</t>
  </si>
  <si>
    <t>Wirtschaftlich erforderlich für Ausgleich Cash-Flow im lfd. Wirtschaftsjahr, auch weil die wirtschaftliche Situation infolge der Pandemie kaum noch prognostizierbar ist</t>
  </si>
  <si>
    <t>var</t>
  </si>
  <si>
    <t>425.25, 527.11, 527.12, 527.13</t>
  </si>
  <si>
    <t xml:space="preserve">511.10,  511.15, </t>
  </si>
  <si>
    <t>686.31 (x0,5), 686.41 (x0,87), 686.51 (x0,8), 686.61 (x0,33), 686.71 (x0,26)</t>
  </si>
  <si>
    <t>686.31 (x0,5)</t>
  </si>
  <si>
    <t>686.71 (0,74)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</si>
</sst>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0.00\ &quot;€&quot;;[Red]\-#,##0.00\ &quot;€&quot;"/>
    <numFmt numFmtId="44" formatCode="_-* #,##0.00\ &quot;€&quot;_-;\-* #,##0.00\ &quot;€&quot;_-;_-* &quot;-&quot;??\ &quot;€&quot;_-;_-@_-"/>
    <numFmt numFmtId="164" formatCode="#,##0.00\ &quot;€&quot;"/>
    <numFmt numFmtId="165" formatCode="_-* #,##0.00&quot; €&quot;_-;\-* #,##0.00&quot; €&quot;_-;_-* \-??&quot; €&quot;_-;_-@_-"/>
    <numFmt numFmtId="166" formatCode="\ #,##0.00\ [$€-407]\ ;\-#,##0.00\ [$€-407]\ ;&quot; -&quot;00\ [$€-407]\ ;\ @\ "/>
    <numFmt numFmtId="167" formatCode="0\ %"/>
    <numFmt numFmtId="168" formatCode="0.00\ %"/>
    <numFmt numFmtId="169" formatCode="_-* #,##0.00\ [$€-407]_-;\-* #,##0.00\ [$€-407]_-;_-* \-??\ [$€-407]_-;_-@_-"/>
    <numFmt numFmtId="170" formatCode="#,##0.00\ [$€-407]"/>
    <numFmt numFmtId="171" formatCode="#,##0.00\ _€"/>
    <numFmt numFmtId="172" formatCode="_-* #,##0.00\ [$€-407]_-;\-* #,##0.00\ [$€-407]_-;_-* &quot;-&quot;??\ [$€-407]_-;_-@_-"/>
    <numFmt numFmtId="173" formatCode="#,##0.00\ [$€-407];[Red]\-#,##0.00\ [$€-407]"/>
  </numFmts>
  <fonts count="74" x14ac:knownFonts="1">
    <font>
      <sz val="11"/>
      <color theme="1"/>
      <name val="Calibri"/>
      <family val="2"/>
      <scheme val="minor"/>
    </font>
    <font>
      <b/>
      <sz val="11"/>
      <color theme="1"/>
      <name val="Calibri"/>
      <family val="2"/>
      <scheme val="minor"/>
    </font>
    <font>
      <b/>
      <sz val="18"/>
      <color theme="1"/>
      <name val="Calibri"/>
      <family val="2"/>
      <scheme val="minor"/>
    </font>
    <font>
      <b/>
      <sz val="12"/>
      <name val="Calibri"/>
      <family val="2"/>
      <scheme val="minor"/>
    </font>
    <font>
      <b/>
      <sz val="12"/>
      <color theme="1"/>
      <name val="Calibri"/>
      <family val="2"/>
      <scheme val="minor"/>
    </font>
    <font>
      <b/>
      <sz val="14"/>
      <color theme="1"/>
      <name val="Calibri"/>
      <family val="2"/>
      <scheme val="minor"/>
    </font>
    <font>
      <sz val="11"/>
      <name val="Calibri"/>
      <family val="2"/>
    </font>
    <font>
      <sz val="12"/>
      <color theme="1"/>
      <name val="Calibri"/>
      <family val="2"/>
      <scheme val="minor"/>
    </font>
    <font>
      <u/>
      <sz val="11"/>
      <color theme="10"/>
      <name val="Calibri"/>
      <family val="2"/>
      <scheme val="minor"/>
    </font>
    <font>
      <b/>
      <sz val="10"/>
      <name val="Calibri"/>
      <family val="2"/>
    </font>
    <font>
      <sz val="12"/>
      <color indexed="8"/>
      <name val="Calibri"/>
      <family val="2"/>
    </font>
    <font>
      <sz val="10"/>
      <name val="Calibri"/>
      <family val="2"/>
    </font>
    <font>
      <sz val="11"/>
      <color rgb="FF000000"/>
      <name val="Calibri"/>
      <family val="2"/>
      <charset val="1"/>
    </font>
    <font>
      <sz val="11"/>
      <color rgb="FFFF0000"/>
      <name val="Calibri"/>
      <family val="2"/>
      <charset val="1"/>
    </font>
    <font>
      <sz val="11"/>
      <name val="Calibri"/>
      <family val="2"/>
      <scheme val="minor"/>
    </font>
    <font>
      <b/>
      <sz val="13"/>
      <name val="Arial"/>
      <family val="2"/>
    </font>
    <font>
      <sz val="10.5"/>
      <name val="Calibri"/>
      <family val="2"/>
    </font>
    <font>
      <b/>
      <sz val="12"/>
      <name val="Calibri"/>
      <family val="2"/>
    </font>
    <font>
      <b/>
      <sz val="9"/>
      <color indexed="81"/>
      <name val="Segoe UI"/>
      <family val="2"/>
    </font>
    <font>
      <b/>
      <u/>
      <sz val="11"/>
      <color theme="1"/>
      <name val="Calibri"/>
      <family val="2"/>
      <scheme val="minor"/>
    </font>
    <font>
      <sz val="11"/>
      <color indexed="8"/>
      <name val="Calibri"/>
      <family val="2"/>
    </font>
    <font>
      <b/>
      <sz val="12"/>
      <color indexed="8"/>
      <name val="Calibri"/>
      <family val="2"/>
    </font>
    <font>
      <b/>
      <sz val="11"/>
      <color indexed="8"/>
      <name val="Calibri"/>
      <family val="2"/>
    </font>
    <font>
      <b/>
      <sz val="10"/>
      <color theme="1"/>
      <name val="Calibri"/>
      <family val="2"/>
      <scheme val="minor"/>
    </font>
    <font>
      <sz val="10"/>
      <color theme="1"/>
      <name val="Calibri"/>
      <family val="2"/>
      <scheme val="minor"/>
    </font>
    <font>
      <b/>
      <u/>
      <sz val="10"/>
      <color theme="1"/>
      <name val="Calibri"/>
      <family val="2"/>
      <scheme val="minor"/>
    </font>
    <font>
      <b/>
      <vertAlign val="subscript"/>
      <sz val="8"/>
      <color theme="0"/>
      <name val="Calibri"/>
      <family val="2"/>
      <scheme val="minor"/>
    </font>
    <font>
      <vertAlign val="subscript"/>
      <sz val="8"/>
      <color theme="0"/>
      <name val="Calibri"/>
      <family val="2"/>
      <scheme val="minor"/>
    </font>
    <font>
      <u/>
      <sz val="11"/>
      <color theme="4"/>
      <name val="Calibri"/>
      <family val="2"/>
      <scheme val="minor"/>
    </font>
    <font>
      <b/>
      <sz val="11"/>
      <name val="Calibri"/>
      <family val="2"/>
    </font>
    <font>
      <b/>
      <sz val="11"/>
      <color theme="1"/>
      <name val="Calibri"/>
      <family val="2"/>
    </font>
    <font>
      <b/>
      <sz val="11"/>
      <color theme="4"/>
      <name val="Calibri"/>
      <family val="2"/>
    </font>
    <font>
      <sz val="11"/>
      <color theme="4"/>
      <name val="Calibri"/>
      <family val="2"/>
    </font>
    <font>
      <sz val="11"/>
      <color theme="1"/>
      <name val="Calibri"/>
      <family val="2"/>
      <scheme val="minor"/>
    </font>
    <font>
      <u/>
      <sz val="11"/>
      <name val="Calibri"/>
      <family val="2"/>
    </font>
    <font>
      <sz val="10"/>
      <color indexed="9"/>
      <name val="Calibri"/>
      <family val="2"/>
    </font>
    <font>
      <sz val="11"/>
      <color theme="1"/>
      <name val="Calibri"/>
      <family val="2"/>
    </font>
    <font>
      <b/>
      <sz val="11"/>
      <color theme="0"/>
      <name val="Calibri"/>
      <family val="2"/>
      <scheme val="minor"/>
    </font>
    <font>
      <sz val="11"/>
      <color theme="0"/>
      <name val="Calibri"/>
      <family val="2"/>
      <scheme val="minor"/>
    </font>
    <font>
      <b/>
      <sz val="9"/>
      <color theme="4" tint="-0.249977111117893"/>
      <name val="Calibri"/>
      <family val="2"/>
      <scheme val="minor"/>
    </font>
    <font>
      <b/>
      <sz val="9"/>
      <color theme="1"/>
      <name val="Calibri"/>
      <family val="2"/>
      <scheme val="minor"/>
    </font>
    <font>
      <b/>
      <sz val="9"/>
      <name val="Calibri"/>
      <family val="2"/>
      <scheme val="minor"/>
    </font>
    <font>
      <b/>
      <sz val="8"/>
      <color theme="4" tint="-0.249977111117893"/>
      <name val="Calibri"/>
      <family val="2"/>
      <scheme val="minor"/>
    </font>
    <font>
      <b/>
      <sz val="11"/>
      <name val="Calibri"/>
      <family val="2"/>
      <scheme val="minor"/>
    </font>
    <font>
      <b/>
      <sz val="11"/>
      <color theme="4" tint="-0.249977111117893"/>
      <name val="Calibri"/>
      <family val="2"/>
      <scheme val="minor"/>
    </font>
    <font>
      <b/>
      <sz val="10"/>
      <color theme="4" tint="-0.249977111117893"/>
      <name val="Calibri"/>
      <family val="2"/>
      <scheme val="minor"/>
    </font>
    <font>
      <sz val="10"/>
      <name val="Calibri"/>
      <family val="2"/>
      <scheme val="minor"/>
    </font>
    <font>
      <sz val="9"/>
      <name val="Calibri"/>
      <family val="2"/>
      <scheme val="minor"/>
    </font>
    <font>
      <b/>
      <sz val="11"/>
      <color rgb="FFFF0000"/>
      <name val="Calibri"/>
      <family val="2"/>
      <scheme val="minor"/>
    </font>
    <font>
      <sz val="11"/>
      <color indexed="8"/>
      <name val="Calibri"/>
      <family val="2"/>
      <charset val="1"/>
    </font>
    <font>
      <sz val="10"/>
      <name val="Arial"/>
      <family val="2"/>
      <charset val="1"/>
    </font>
    <font>
      <sz val="10"/>
      <color indexed="8"/>
      <name val="Arial"/>
      <family val="2"/>
      <charset val="1"/>
    </font>
    <font>
      <b/>
      <sz val="11"/>
      <color rgb="FFFFFF00"/>
      <name val="Calibri"/>
      <family val="2"/>
      <scheme val="minor"/>
    </font>
    <font>
      <sz val="11"/>
      <name val="Calibri"/>
      <family val="2"/>
      <charset val="1"/>
    </font>
    <font>
      <sz val="9"/>
      <color theme="1"/>
      <name val="Calibri"/>
      <family val="2"/>
      <scheme val="minor"/>
    </font>
    <font>
      <b/>
      <u/>
      <sz val="10"/>
      <color indexed="8"/>
      <name val="Calibri"/>
      <family val="2"/>
      <scheme val="minor"/>
    </font>
    <font>
      <sz val="10"/>
      <color indexed="8"/>
      <name val="Calibri"/>
      <family val="2"/>
      <scheme val="minor"/>
    </font>
    <font>
      <sz val="10"/>
      <color rgb="FF0070C0"/>
      <name val="Calibri"/>
      <family val="2"/>
      <scheme val="minor"/>
    </font>
    <font>
      <b/>
      <sz val="11"/>
      <color rgb="FF0070C0"/>
      <name val="Calibri"/>
      <family val="2"/>
      <scheme val="minor"/>
    </font>
    <font>
      <b/>
      <sz val="10"/>
      <name val="Calibri"/>
      <family val="2"/>
      <scheme val="minor"/>
    </font>
    <font>
      <sz val="11"/>
      <color rgb="FF0070C0"/>
      <name val="Calibri"/>
      <family val="2"/>
      <scheme val="minor"/>
    </font>
    <font>
      <sz val="10"/>
      <color indexed="8"/>
      <name val="Arial"/>
      <family val="2"/>
    </font>
    <font>
      <b/>
      <sz val="10"/>
      <color rgb="FFFF0000"/>
      <name val="Calibri"/>
      <family val="2"/>
      <scheme val="minor"/>
    </font>
    <font>
      <b/>
      <u/>
      <sz val="11"/>
      <color rgb="FF0070C0"/>
      <name val="Calibri"/>
      <family val="2"/>
      <scheme val="minor"/>
    </font>
    <font>
      <b/>
      <u/>
      <sz val="11"/>
      <color theme="4" tint="-0.249977111117893"/>
      <name val="Calibri"/>
      <family val="2"/>
      <scheme val="minor"/>
    </font>
    <font>
      <sz val="11"/>
      <color rgb="FF002060"/>
      <name val="Calibri"/>
      <family val="2"/>
      <scheme val="minor"/>
    </font>
    <font>
      <sz val="8"/>
      <color theme="1"/>
      <name val="Calibri"/>
      <family val="2"/>
      <scheme val="minor"/>
    </font>
    <font>
      <b/>
      <sz val="8"/>
      <color theme="1"/>
      <name val="Calibri"/>
      <family val="2"/>
      <scheme val="minor"/>
    </font>
    <font>
      <b/>
      <sz val="10"/>
      <name val="Arial"/>
      <family val="2"/>
    </font>
    <font>
      <sz val="10"/>
      <color rgb="FFFF0000"/>
      <name val="Arial"/>
      <family val="2"/>
    </font>
    <font>
      <sz val="10"/>
      <name val="Arial"/>
      <family val="2"/>
    </font>
    <font>
      <sz val="8"/>
      <name val="Arial"/>
      <family val="2"/>
    </font>
    <font>
      <sz val="11"/>
      <color rgb="FF000000"/>
      <name val="Calibri"/>
      <family val="2"/>
      <scheme val="minor"/>
    </font>
    <font>
      <b/>
      <sz val="9"/>
      <color theme="0"/>
      <name val="Calibri"/>
      <family val="2"/>
      <scheme val="minor"/>
    </font>
  </fonts>
  <fills count="19">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7C80"/>
        <bgColor indexed="64"/>
      </patternFill>
    </fill>
    <fill>
      <patternFill patternType="solid">
        <fgColor rgb="FFFFCCCC"/>
        <bgColor indexed="64"/>
      </patternFill>
    </fill>
    <fill>
      <patternFill patternType="solid">
        <fgColor indexed="31"/>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F2CC"/>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142">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top style="thin">
        <color theme="8"/>
      </top>
      <bottom/>
      <diagonal/>
    </border>
    <border>
      <left style="thin">
        <color indexed="64"/>
      </left>
      <right style="thin">
        <color indexed="64"/>
      </right>
      <top style="thin">
        <color theme="8"/>
      </top>
      <bottom/>
      <diagonal/>
    </border>
    <border>
      <left style="thin">
        <color theme="9"/>
      </left>
      <right/>
      <top style="thin">
        <color theme="9"/>
      </top>
      <bottom/>
      <diagonal/>
    </border>
    <border>
      <left/>
      <right/>
      <top style="thin">
        <color theme="9"/>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medium">
        <color theme="1"/>
      </bottom>
      <diagonal/>
    </border>
    <border>
      <left style="thin">
        <color theme="9"/>
      </left>
      <right style="thin">
        <color theme="9"/>
      </right>
      <top style="thin">
        <color theme="9"/>
      </top>
      <bottom/>
      <diagonal/>
    </border>
    <border>
      <left style="thin">
        <color indexed="64"/>
      </left>
      <right style="thin">
        <color auto="1"/>
      </right>
      <top style="thin">
        <color auto="1"/>
      </top>
      <bottom/>
      <diagonal/>
    </border>
    <border>
      <left style="thin">
        <color indexed="64"/>
      </left>
      <right style="thin">
        <color indexed="64"/>
      </right>
      <top style="thin">
        <color indexed="64"/>
      </top>
      <bottom style="thin">
        <color auto="1"/>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style="medium">
        <color indexed="64"/>
      </left>
      <right style="medium">
        <color indexed="64"/>
      </right>
      <top style="thin">
        <color auto="1"/>
      </top>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auto="1"/>
      </left>
      <right/>
      <top style="medium">
        <color auto="1"/>
      </top>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auto="1"/>
      </bottom>
      <diagonal/>
    </border>
    <border>
      <left/>
      <right/>
      <top style="thin">
        <color theme="6"/>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medium">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medium">
        <color indexed="64"/>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thin">
        <color rgb="FFFFC000"/>
      </right>
      <top style="thin">
        <color rgb="FFFFC000"/>
      </top>
      <bottom style="thin">
        <color rgb="FFFFC000"/>
      </bottom>
      <diagonal/>
    </border>
    <border>
      <left/>
      <right style="thin">
        <color rgb="FFFFC000"/>
      </right>
      <top style="thin">
        <color rgb="FFFFC000"/>
      </top>
      <bottom/>
      <diagonal/>
    </border>
    <border>
      <left style="thin">
        <color rgb="FFFFC000"/>
      </left>
      <right style="thin">
        <color rgb="FFFFC000"/>
      </right>
      <top style="thin">
        <color rgb="FFFFC000"/>
      </top>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s>
  <cellStyleXfs count="11">
    <xf numFmtId="0" fontId="0" fillId="0" borderId="0"/>
    <xf numFmtId="0" fontId="8" fillId="0" borderId="0" applyNumberFormat="0" applyFill="0" applyBorder="0" applyAlignment="0" applyProtection="0"/>
    <xf numFmtId="0" fontId="10" fillId="8" borderId="0" applyNumberFormat="0" applyBorder="0" applyAlignment="0" applyProtection="0"/>
    <xf numFmtId="0" fontId="12" fillId="0" borderId="0"/>
    <xf numFmtId="165" fontId="12" fillId="0" borderId="0" applyBorder="0" applyProtection="0"/>
    <xf numFmtId="167" fontId="12" fillId="0" borderId="0" applyBorder="0" applyProtection="0"/>
    <xf numFmtId="0" fontId="20" fillId="0" borderId="0" applyBorder="0" applyProtection="0"/>
    <xf numFmtId="44" fontId="33" fillId="0" borderId="0" applyFont="0" applyFill="0" applyBorder="0" applyAlignment="0" applyProtection="0"/>
    <xf numFmtId="0" fontId="20" fillId="0" borderId="0" applyBorder="0" applyProtection="0"/>
    <xf numFmtId="0" fontId="49" fillId="0" borderId="0"/>
    <xf numFmtId="0" fontId="20" fillId="0" borderId="0"/>
  </cellStyleXfs>
  <cellXfs count="844">
    <xf numFmtId="0" fontId="0" fillId="0" borderId="0" xfId="0"/>
    <xf numFmtId="0" fontId="2" fillId="0" borderId="0" xfId="0" applyFont="1"/>
    <xf numFmtId="0" fontId="1" fillId="2" borderId="0" xfId="0" applyFont="1" applyFill="1"/>
    <xf numFmtId="0" fontId="0" fillId="3" borderId="0" xfId="0" applyFill="1"/>
    <xf numFmtId="0" fontId="0" fillId="4" borderId="0" xfId="0" applyFill="1"/>
    <xf numFmtId="0" fontId="3" fillId="0" borderId="0" xfId="0" applyFont="1"/>
    <xf numFmtId="0" fontId="1" fillId="0" borderId="0" xfId="0" applyFont="1"/>
    <xf numFmtId="0" fontId="4" fillId="0" borderId="0" xfId="0" applyFont="1"/>
    <xf numFmtId="0" fontId="1" fillId="5" borderId="0" xfId="0" applyFont="1" applyFill="1"/>
    <xf numFmtId="0" fontId="0" fillId="6" borderId="0" xfId="0" applyFill="1"/>
    <xf numFmtId="0" fontId="0" fillId="7" borderId="0" xfId="0" applyFill="1"/>
    <xf numFmtId="0" fontId="5" fillId="0" borderId="0" xfId="0" applyFont="1"/>
    <xf numFmtId="0" fontId="8" fillId="3" borderId="0" xfId="1" applyFill="1"/>
    <xf numFmtId="0" fontId="8" fillId="7" borderId="0" xfId="1" applyFill="1"/>
    <xf numFmtId="164" fontId="0" fillId="0" borderId="0" xfId="0" applyNumberFormat="1"/>
    <xf numFmtId="164" fontId="3" fillId="0" borderId="0" xfId="0" applyNumberFormat="1" applyFont="1"/>
    <xf numFmtId="164" fontId="1" fillId="0" borderId="0" xfId="0" applyNumberFormat="1" applyFont="1"/>
    <xf numFmtId="164" fontId="0" fillId="4" borderId="0" xfId="0" applyNumberFormat="1" applyFill="1"/>
    <xf numFmtId="164" fontId="0" fillId="3" borderId="0" xfId="0" applyNumberFormat="1" applyFill="1"/>
    <xf numFmtId="164" fontId="1" fillId="5" borderId="0" xfId="0" applyNumberFormat="1" applyFont="1" applyFill="1"/>
    <xf numFmtId="164" fontId="0" fillId="6" borderId="0" xfId="0" applyNumberFormat="1" applyFill="1"/>
    <xf numFmtId="164" fontId="0" fillId="7" borderId="0" xfId="0" applyNumberFormat="1" applyFill="1"/>
    <xf numFmtId="0" fontId="4" fillId="0" borderId="0" xfId="0" applyFont="1" applyAlignment="1">
      <alignment vertical="center"/>
    </xf>
    <xf numFmtId="164" fontId="1" fillId="2" borderId="0" xfId="0" applyNumberFormat="1" applyFont="1" applyFill="1"/>
    <xf numFmtId="166" fontId="13" fillId="0" borderId="0" xfId="3" applyNumberFormat="1" applyFont="1"/>
    <xf numFmtId="0" fontId="12" fillId="0" borderId="0" xfId="3"/>
    <xf numFmtId="0" fontId="12" fillId="0" borderId="0" xfId="3" applyAlignment="1">
      <alignment wrapText="1"/>
    </xf>
    <xf numFmtId="165" fontId="12" fillId="0" borderId="0" xfId="4" applyBorder="1" applyProtection="1"/>
    <xf numFmtId="166" fontId="12" fillId="0" borderId="0" xfId="3" applyNumberFormat="1"/>
    <xf numFmtId="165" fontId="12" fillId="0" borderId="0" xfId="3" applyNumberFormat="1"/>
    <xf numFmtId="2" fontId="12" fillId="0" borderId="0" xfId="4" applyNumberFormat="1" applyBorder="1" applyProtection="1"/>
    <xf numFmtId="168" fontId="12" fillId="0" borderId="0" xfId="5" applyNumberFormat="1" applyBorder="1" applyProtection="1"/>
    <xf numFmtId="169" fontId="12" fillId="0" borderId="0" xfId="3" applyNumberFormat="1"/>
    <xf numFmtId="170" fontId="12" fillId="0" borderId="0" xfId="3" applyNumberFormat="1"/>
    <xf numFmtId="0" fontId="14" fillId="0" borderId="0" xfId="0" applyFont="1"/>
    <xf numFmtId="164" fontId="14" fillId="0" borderId="0" xfId="0" applyNumberFormat="1" applyFont="1"/>
    <xf numFmtId="0" fontId="0" fillId="0" borderId="14" xfId="0" applyBorder="1" applyAlignment="1">
      <alignment wrapText="1"/>
    </xf>
    <xf numFmtId="164" fontId="0" fillId="7" borderId="15" xfId="0" applyNumberFormat="1" applyFill="1" applyBorder="1"/>
    <xf numFmtId="164" fontId="0" fillId="3" borderId="15" xfId="0" applyNumberFormat="1" applyFill="1" applyBorder="1"/>
    <xf numFmtId="0" fontId="0" fillId="0" borderId="13" xfId="0" applyBorder="1" applyAlignment="1">
      <alignment horizontal="center" wrapText="1"/>
    </xf>
    <xf numFmtId="0" fontId="15" fillId="0" borderId="0" xfId="0" applyFont="1" applyAlignment="1">
      <alignment vertical="center"/>
    </xf>
    <xf numFmtId="0" fontId="0" fillId="0" borderId="0" xfId="0" applyAlignment="1">
      <alignment vertical="center"/>
    </xf>
    <xf numFmtId="0" fontId="11" fillId="0" borderId="17" xfId="0" applyFont="1" applyBorder="1" applyAlignment="1">
      <alignment horizontal="center" vertical="center"/>
    </xf>
    <xf numFmtId="164" fontId="12" fillId="0" borderId="19" xfId="5" applyNumberFormat="1" applyBorder="1" applyProtection="1">
      <protection locked="0"/>
    </xf>
    <xf numFmtId="164" fontId="0" fillId="0" borderId="19" xfId="0" applyNumberFormat="1" applyBorder="1" applyProtection="1">
      <protection locked="0"/>
    </xf>
    <xf numFmtId="164" fontId="0" fillId="0" borderId="12" xfId="0" applyNumberFormat="1" applyBorder="1" applyProtection="1">
      <protection locked="0"/>
    </xf>
    <xf numFmtId="0" fontId="0" fillId="0" borderId="18" xfId="0" applyBorder="1"/>
    <xf numFmtId="164" fontId="11" fillId="0" borderId="0" xfId="0" applyNumberFormat="1" applyFont="1" applyAlignment="1" applyProtection="1">
      <alignment horizontal="right" vertical="top"/>
      <protection locked="0"/>
    </xf>
    <xf numFmtId="0" fontId="1" fillId="0" borderId="0" xfId="0" applyFont="1" applyAlignment="1">
      <alignment wrapText="1"/>
    </xf>
    <xf numFmtId="0" fontId="0" fillId="0" borderId="3" xfId="0" applyBorder="1"/>
    <xf numFmtId="0" fontId="0" fillId="0" borderId="23" xfId="0" applyBorder="1"/>
    <xf numFmtId="0" fontId="0" fillId="0" borderId="6" xfId="0" applyBorder="1"/>
    <xf numFmtId="0" fontId="0" fillId="0" borderId="15" xfId="0" applyBorder="1" applyAlignment="1">
      <alignment wrapText="1"/>
    </xf>
    <xf numFmtId="0" fontId="0" fillId="0" borderId="15" xfId="0" applyBorder="1" applyAlignment="1">
      <alignment horizontal="center" wrapText="1"/>
    </xf>
    <xf numFmtId="0" fontId="0" fillId="0" borderId="5" xfId="0" applyBorder="1" applyAlignment="1">
      <alignment wrapText="1"/>
    </xf>
    <xf numFmtId="0" fontId="0" fillId="0" borderId="24" xfId="0" applyBorder="1" applyAlignment="1">
      <alignment wrapText="1"/>
    </xf>
    <xf numFmtId="164" fontId="0" fillId="7" borderId="10" xfId="0" applyNumberFormat="1" applyFill="1" applyBorder="1"/>
    <xf numFmtId="164" fontId="0" fillId="7" borderId="11" xfId="0" applyNumberFormat="1" applyFill="1" applyBorder="1"/>
    <xf numFmtId="164" fontId="0" fillId="3" borderId="11" xfId="0" applyNumberFormat="1" applyFill="1" applyBorder="1"/>
    <xf numFmtId="164" fontId="0" fillId="3" borderId="12" xfId="0" applyNumberFormat="1" applyFill="1" applyBorder="1"/>
    <xf numFmtId="164" fontId="0" fillId="0" borderId="15" xfId="0" applyNumberFormat="1" applyBorder="1"/>
    <xf numFmtId="164" fontId="1" fillId="0" borderId="16" xfId="0" applyNumberFormat="1" applyFont="1" applyBorder="1"/>
    <xf numFmtId="164" fontId="4" fillId="7" borderId="11" xfId="0" applyNumberFormat="1" applyFont="1" applyFill="1" applyBorder="1"/>
    <xf numFmtId="164" fontId="4" fillId="3" borderId="12" xfId="0" applyNumberFormat="1" applyFont="1" applyFill="1" applyBorder="1"/>
    <xf numFmtId="0" fontId="5" fillId="0" borderId="0" xfId="0" applyFont="1" applyAlignment="1">
      <alignment vertical="top"/>
    </xf>
    <xf numFmtId="0" fontId="5" fillId="0" borderId="0" xfId="0" applyFont="1" applyAlignment="1">
      <alignment vertical="top" wrapText="1"/>
    </xf>
    <xf numFmtId="0" fontId="0" fillId="0" borderId="23" xfId="0" applyBorder="1" applyAlignment="1">
      <alignment horizontal="center" wrapText="1"/>
    </xf>
    <xf numFmtId="0" fontId="0" fillId="0" borderId="4" xfId="0" applyBorder="1" applyAlignment="1">
      <alignment wrapText="1"/>
    </xf>
    <xf numFmtId="0" fontId="0" fillId="0" borderId="23" xfId="0" applyBorder="1" applyAlignment="1">
      <alignment wrapText="1"/>
    </xf>
    <xf numFmtId="164" fontId="0" fillId="7" borderId="11" xfId="0" applyNumberFormat="1" applyFill="1" applyBorder="1" applyAlignment="1">
      <alignment wrapText="1"/>
    </xf>
    <xf numFmtId="0" fontId="0" fillId="0" borderId="3" xfId="0" applyBorder="1" applyAlignment="1">
      <alignment horizontal="center" wrapText="1"/>
    </xf>
    <xf numFmtId="0" fontId="0" fillId="0" borderId="3" xfId="0" applyBorder="1" applyAlignment="1">
      <alignment wrapText="1"/>
    </xf>
    <xf numFmtId="164" fontId="8" fillId="0" borderId="6" xfId="0" applyNumberFormat="1" applyFont="1" applyBorder="1" applyAlignment="1">
      <alignment wrapText="1"/>
    </xf>
    <xf numFmtId="0" fontId="0" fillId="0" borderId="31" xfId="0" applyBorder="1" applyAlignment="1">
      <alignment wrapText="1"/>
    </xf>
    <xf numFmtId="0" fontId="1" fillId="0" borderId="32" xfId="0" applyFont="1" applyBorder="1" applyAlignment="1">
      <alignment wrapText="1"/>
    </xf>
    <xf numFmtId="0" fontId="8" fillId="0" borderId="28" xfId="1" applyBorder="1" applyAlignment="1">
      <alignment horizontal="center" wrapText="1"/>
    </xf>
    <xf numFmtId="0" fontId="8" fillId="0" borderId="28" xfId="1" applyBorder="1" applyAlignment="1">
      <alignment wrapText="1"/>
    </xf>
    <xf numFmtId="0" fontId="0" fillId="0" borderId="20" xfId="0" applyBorder="1" applyAlignment="1">
      <alignment wrapText="1"/>
    </xf>
    <xf numFmtId="0" fontId="7" fillId="0" borderId="0" xfId="0" applyFont="1"/>
    <xf numFmtId="0" fontId="11" fillId="0" borderId="0" xfId="0" applyFont="1" applyAlignment="1">
      <alignment horizontal="left" vertical="top"/>
    </xf>
    <xf numFmtId="0" fontId="11" fillId="0" borderId="0" xfId="0" applyFont="1" applyAlignment="1" applyProtection="1">
      <alignment horizontal="left" vertical="top"/>
      <protection locked="0"/>
    </xf>
    <xf numFmtId="0" fontId="6" fillId="0" borderId="0" xfId="0" applyFont="1" applyAlignment="1" applyProtection="1">
      <alignment horizontal="left" vertical="top"/>
      <protection locked="0"/>
    </xf>
    <xf numFmtId="0" fontId="17" fillId="0" borderId="0" xfId="0" applyFont="1" applyAlignment="1">
      <alignment horizontal="right" vertical="top"/>
    </xf>
    <xf numFmtId="0" fontId="6" fillId="0" borderId="0" xfId="0" applyFont="1" applyAlignment="1">
      <alignment horizontal="left" vertical="top"/>
    </xf>
    <xf numFmtId="0" fontId="0" fillId="0" borderId="0" xfId="0" applyProtection="1">
      <protection locked="0"/>
    </xf>
    <xf numFmtId="0" fontId="0" fillId="9" borderId="0" xfId="0" applyFill="1" applyProtection="1">
      <protection locked="0"/>
    </xf>
    <xf numFmtId="0" fontId="0" fillId="0" borderId="14" xfId="0" applyBorder="1" applyAlignment="1">
      <alignment horizontal="right" wrapText="1"/>
    </xf>
    <xf numFmtId="0" fontId="4" fillId="0" borderId="0" xfId="0" applyFont="1" applyAlignment="1">
      <alignment horizontal="right"/>
    </xf>
    <xf numFmtId="0" fontId="0" fillId="0" borderId="32" xfId="0" applyBorder="1" applyAlignment="1">
      <alignment horizontal="right" wrapText="1"/>
    </xf>
    <xf numFmtId="0" fontId="8" fillId="0" borderId="20" xfId="1" applyBorder="1" applyAlignment="1">
      <alignment horizontal="center" wrapText="1"/>
    </xf>
    <xf numFmtId="164" fontId="8" fillId="7" borderId="11" xfId="1" applyNumberFormat="1" applyFill="1" applyBorder="1" applyAlignment="1">
      <alignment wrapText="1"/>
    </xf>
    <xf numFmtId="0" fontId="21" fillId="0" borderId="0" xfId="6" applyFont="1" applyBorder="1" applyProtection="1"/>
    <xf numFmtId="0" fontId="22" fillId="0" borderId="0" xfId="6" applyFont="1" applyBorder="1" applyProtection="1"/>
    <xf numFmtId="3" fontId="0" fillId="0" borderId="14" xfId="0" applyNumberFormat="1" applyBorder="1" applyProtection="1">
      <protection locked="0"/>
    </xf>
    <xf numFmtId="0" fontId="23" fillId="4" borderId="10" xfId="0" applyFont="1" applyFill="1" applyBorder="1"/>
    <xf numFmtId="0" fontId="23" fillId="4" borderId="11" xfId="0" applyFont="1" applyFill="1" applyBorder="1"/>
    <xf numFmtId="0" fontId="23" fillId="6" borderId="11" xfId="0" applyFont="1" applyFill="1" applyBorder="1"/>
    <xf numFmtId="0" fontId="23" fillId="6" borderId="12" xfId="0" applyFont="1" applyFill="1" applyBorder="1"/>
    <xf numFmtId="0" fontId="24" fillId="0" borderId="14" xfId="0" applyFont="1" applyBorder="1" applyAlignment="1">
      <alignment wrapText="1"/>
    </xf>
    <xf numFmtId="0" fontId="24" fillId="0" borderId="41" xfId="0" applyFont="1" applyBorder="1"/>
    <xf numFmtId="0" fontId="24" fillId="0" borderId="27" xfId="0" applyFont="1" applyBorder="1" applyAlignment="1">
      <alignment horizontal="right"/>
    </xf>
    <xf numFmtId="0" fontId="24" fillId="0" borderId="0" xfId="0" applyFont="1"/>
    <xf numFmtId="0" fontId="24" fillId="0" borderId="0" xfId="0" applyFont="1" applyAlignment="1">
      <alignment horizontal="center" wrapText="1"/>
    </xf>
    <xf numFmtId="164" fontId="23" fillId="0" borderId="35" xfId="0" applyNumberFormat="1" applyFont="1" applyBorder="1" applyAlignment="1">
      <alignment horizontal="left"/>
    </xf>
    <xf numFmtId="0" fontId="24" fillId="0" borderId="0" xfId="0" applyFont="1" applyAlignment="1">
      <alignment horizontal="left" wrapText="1"/>
    </xf>
    <xf numFmtId="0" fontId="24" fillId="0" borderId="24" xfId="0" applyFont="1" applyBorder="1" applyAlignment="1">
      <alignment horizontal="center" wrapText="1"/>
    </xf>
    <xf numFmtId="0" fontId="24" fillId="0" borderId="25" xfId="0" applyFont="1" applyBorder="1" applyAlignment="1">
      <alignment horizontal="center" wrapText="1"/>
    </xf>
    <xf numFmtId="3" fontId="24" fillId="0" borderId="15" xfId="0" applyNumberFormat="1" applyFont="1" applyBorder="1"/>
    <xf numFmtId="0" fontId="24" fillId="9" borderId="0" xfId="0" applyFont="1" applyFill="1"/>
    <xf numFmtId="0" fontId="24" fillId="0" borderId="15" xfId="0" applyFont="1" applyBorder="1"/>
    <xf numFmtId="0" fontId="24" fillId="0" borderId="0" xfId="0" applyFont="1" applyAlignment="1">
      <alignment horizontal="right"/>
    </xf>
    <xf numFmtId="0" fontId="23" fillId="0" borderId="36" xfId="0" applyFont="1" applyBorder="1"/>
    <xf numFmtId="0" fontId="23" fillId="6" borderId="38" xfId="0" applyFont="1" applyFill="1" applyBorder="1"/>
    <xf numFmtId="0" fontId="23" fillId="6" borderId="39" xfId="0" applyFont="1" applyFill="1" applyBorder="1"/>
    <xf numFmtId="0" fontId="23" fillId="6" borderId="40" xfId="0" applyFont="1" applyFill="1" applyBorder="1"/>
    <xf numFmtId="0" fontId="23" fillId="0" borderId="0" xfId="0" applyFont="1" applyAlignment="1">
      <alignment wrapText="1"/>
    </xf>
    <xf numFmtId="0" fontId="24" fillId="10" borderId="0" xfId="0" applyFont="1" applyFill="1"/>
    <xf numFmtId="0" fontId="9" fillId="0" borderId="0" xfId="0" applyFont="1" applyAlignment="1" applyProtection="1">
      <alignment horizontal="left" vertical="top"/>
      <protection locked="0"/>
    </xf>
    <xf numFmtId="164" fontId="0" fillId="0" borderId="24" xfId="0" applyNumberFormat="1" applyBorder="1" applyProtection="1">
      <protection locked="0"/>
    </xf>
    <xf numFmtId="164" fontId="0" fillId="0" borderId="0" xfId="0" applyNumberFormat="1" applyProtection="1">
      <protection locked="0"/>
    </xf>
    <xf numFmtId="164" fontId="0" fillId="0" borderId="25" xfId="0" applyNumberFormat="1" applyBorder="1"/>
    <xf numFmtId="164" fontId="0" fillId="9" borderId="24" xfId="0" applyNumberFormat="1" applyFill="1" applyBorder="1" applyProtection="1">
      <protection locked="0"/>
    </xf>
    <xf numFmtId="164" fontId="0" fillId="9" borderId="0" xfId="0" applyNumberFormat="1" applyFill="1" applyProtection="1">
      <protection locked="0"/>
    </xf>
    <xf numFmtId="164" fontId="0" fillId="9" borderId="25" xfId="0" applyNumberFormat="1" applyFill="1" applyBorder="1"/>
    <xf numFmtId="164" fontId="1" fillId="0" borderId="24" xfId="0" applyNumberFormat="1" applyFont="1" applyBorder="1" applyProtection="1">
      <protection locked="0"/>
    </xf>
    <xf numFmtId="164" fontId="1" fillId="0" borderId="0" xfId="0" applyNumberFormat="1" applyFont="1" applyProtection="1">
      <protection locked="0"/>
    </xf>
    <xf numFmtId="0" fontId="0" fillId="0" borderId="25" xfId="0" applyBorder="1" applyProtection="1">
      <protection locked="0"/>
    </xf>
    <xf numFmtId="164" fontId="24" fillId="0" borderId="24" xfId="0" applyNumberFormat="1" applyFont="1" applyBorder="1"/>
    <xf numFmtId="164" fontId="24" fillId="0" borderId="0" xfId="0" applyNumberFormat="1" applyFont="1"/>
    <xf numFmtId="164" fontId="24" fillId="9" borderId="26" xfId="0" applyNumberFormat="1" applyFont="1" applyFill="1" applyBorder="1"/>
    <xf numFmtId="164" fontId="24" fillId="9" borderId="27" xfId="0" applyNumberFormat="1" applyFont="1" applyFill="1" applyBorder="1"/>
    <xf numFmtId="164" fontId="24" fillId="10" borderId="24" xfId="0" applyNumberFormat="1" applyFont="1" applyFill="1" applyBorder="1"/>
    <xf numFmtId="164" fontId="24" fillId="10" borderId="0" xfId="0" applyNumberFormat="1" applyFont="1" applyFill="1"/>
    <xf numFmtId="164" fontId="0" fillId="0" borderId="44" xfId="0" applyNumberFormat="1" applyBorder="1"/>
    <xf numFmtId="164" fontId="0" fillId="0" borderId="30" xfId="0" applyNumberFormat="1" applyBorder="1"/>
    <xf numFmtId="0" fontId="1" fillId="0" borderId="9" xfId="0" applyFont="1" applyBorder="1" applyAlignment="1">
      <alignment horizontal="center" wrapText="1"/>
    </xf>
    <xf numFmtId="164" fontId="0" fillId="0" borderId="19" xfId="0" applyNumberFormat="1" applyBorder="1"/>
    <xf numFmtId="0" fontId="0" fillId="0" borderId="22" xfId="0" applyBorder="1" applyAlignment="1">
      <alignment horizontal="right"/>
    </xf>
    <xf numFmtId="164" fontId="0" fillId="0" borderId="20" xfId="0" applyNumberFormat="1" applyBorder="1"/>
    <xf numFmtId="164" fontId="0" fillId="0" borderId="21" xfId="0" applyNumberFormat="1" applyBorder="1"/>
    <xf numFmtId="0" fontId="0" fillId="0" borderId="0" xfId="0" applyAlignment="1">
      <alignment horizontal="right"/>
    </xf>
    <xf numFmtId="164" fontId="19" fillId="0" borderId="0" xfId="1" applyNumberFormat="1" applyFont="1" applyBorder="1"/>
    <xf numFmtId="0" fontId="24" fillId="0" borderId="16" xfId="0" applyFont="1" applyBorder="1" applyAlignment="1">
      <alignment horizontal="center" wrapText="1"/>
    </xf>
    <xf numFmtId="0" fontId="23" fillId="0" borderId="45" xfId="0" applyFont="1" applyBorder="1"/>
    <xf numFmtId="0" fontId="0" fillId="0" borderId="45" xfId="0" applyBorder="1"/>
    <xf numFmtId="0" fontId="23" fillId="0" borderId="34" xfId="0" applyFont="1" applyBorder="1" applyAlignment="1">
      <alignment horizontal="right"/>
    </xf>
    <xf numFmtId="0" fontId="23" fillId="0" borderId="0" xfId="0" applyFont="1" applyAlignment="1">
      <alignment horizontal="left" wrapText="1"/>
    </xf>
    <xf numFmtId="0" fontId="23" fillId="0" borderId="37" xfId="0" applyFont="1" applyBorder="1" applyAlignment="1">
      <alignment horizontal="right"/>
    </xf>
    <xf numFmtId="0" fontId="0" fillId="0" borderId="7" xfId="0" applyBorder="1" applyAlignment="1">
      <alignment horizontal="right"/>
    </xf>
    <xf numFmtId="0" fontId="6" fillId="0" borderId="0" xfId="2" applyFont="1" applyFill="1" applyBorder="1" applyAlignment="1" applyProtection="1">
      <alignment horizontal="left" vertical="top"/>
    </xf>
    <xf numFmtId="0" fontId="26" fillId="0" borderId="0" xfId="0" applyFont="1"/>
    <xf numFmtId="0" fontId="26" fillId="2" borderId="0" xfId="0" applyFont="1" applyFill="1"/>
    <xf numFmtId="0" fontId="27" fillId="4" borderId="0" xfId="0" applyFont="1" applyFill="1"/>
    <xf numFmtId="0" fontId="27" fillId="3" borderId="0" xfId="0" applyFont="1" applyFill="1"/>
    <xf numFmtId="0" fontId="27" fillId="0" borderId="0" xfId="0" applyFont="1"/>
    <xf numFmtId="0" fontId="26" fillId="5" borderId="0" xfId="0" applyFont="1" applyFill="1"/>
    <xf numFmtId="0" fontId="27" fillId="6" borderId="0" xfId="0" applyFont="1" applyFill="1"/>
    <xf numFmtId="0" fontId="27" fillId="7" borderId="0" xfId="0" applyFont="1" applyFill="1"/>
    <xf numFmtId="0" fontId="27" fillId="7" borderId="0" xfId="0" applyFont="1" applyFill="1" applyAlignment="1">
      <alignment horizontal="left" indent="1"/>
    </xf>
    <xf numFmtId="0" fontId="27" fillId="7" borderId="0" xfId="0" applyFont="1" applyFill="1" applyAlignment="1">
      <alignment horizontal="left"/>
    </xf>
    <xf numFmtId="0" fontId="1" fillId="2" borderId="0" xfId="0" applyFont="1" applyFill="1" applyAlignment="1">
      <alignment horizontal="right"/>
    </xf>
    <xf numFmtId="0" fontId="1" fillId="5" borderId="0" xfId="0" applyFont="1" applyFill="1" applyAlignment="1">
      <alignment horizontal="right"/>
    </xf>
    <xf numFmtId="0" fontId="4" fillId="2" borderId="0" xfId="0" applyFont="1" applyFill="1" applyAlignment="1">
      <alignment horizontal="right"/>
    </xf>
    <xf numFmtId="0" fontId="4" fillId="12" borderId="0" xfId="0" applyFont="1" applyFill="1" applyAlignment="1">
      <alignment horizontal="right"/>
    </xf>
    <xf numFmtId="164" fontId="4" fillId="2" borderId="0" xfId="0" applyNumberFormat="1" applyFont="1" applyFill="1"/>
    <xf numFmtId="164" fontId="0" fillId="2" borderId="0" xfId="0" applyNumberFormat="1" applyFill="1"/>
    <xf numFmtId="164" fontId="4" fillId="5" borderId="0" xfId="0" applyNumberFormat="1" applyFont="1" applyFill="1"/>
    <xf numFmtId="164" fontId="0" fillId="5" borderId="0" xfId="0" applyNumberFormat="1" applyFill="1"/>
    <xf numFmtId="164" fontId="4" fillId="12" borderId="0" xfId="0" applyNumberFormat="1" applyFont="1" applyFill="1"/>
    <xf numFmtId="164" fontId="0" fillId="12" borderId="0" xfId="0" applyNumberFormat="1" applyFill="1"/>
    <xf numFmtId="164" fontId="8" fillId="0" borderId="16" xfId="1" applyNumberFormat="1" applyBorder="1" applyAlignment="1">
      <alignment horizontal="right" vertical="top"/>
    </xf>
    <xf numFmtId="164" fontId="0" fillId="0" borderId="14" xfId="0" applyNumberFormat="1" applyBorder="1"/>
    <xf numFmtId="164" fontId="28" fillId="0" borderId="16" xfId="1" applyNumberFormat="1" applyFont="1" applyFill="1" applyBorder="1" applyAlignment="1" applyProtection="1">
      <alignment horizontal="right" vertical="top"/>
    </xf>
    <xf numFmtId="164" fontId="8" fillId="0" borderId="16" xfId="1" applyNumberFormat="1" applyFill="1" applyBorder="1" applyAlignment="1" applyProtection="1">
      <alignment horizontal="right" vertical="top"/>
    </xf>
    <xf numFmtId="164" fontId="29" fillId="4" borderId="10" xfId="0" applyNumberFormat="1" applyFont="1" applyFill="1" applyBorder="1" applyAlignment="1">
      <alignment horizontal="right" vertical="top"/>
    </xf>
    <xf numFmtId="164" fontId="30" fillId="4" borderId="12" xfId="0" applyNumberFormat="1" applyFont="1" applyFill="1" applyBorder="1" applyAlignment="1">
      <alignment horizontal="right" vertical="top"/>
    </xf>
    <xf numFmtId="164" fontId="29" fillId="0" borderId="14" xfId="2" applyNumberFormat="1" applyFont="1" applyFill="1" applyBorder="1" applyAlignment="1" applyProtection="1">
      <alignment horizontal="right" vertical="top"/>
    </xf>
    <xf numFmtId="164" fontId="31" fillId="0" borderId="16" xfId="2" applyNumberFormat="1" applyFont="1" applyFill="1" applyBorder="1" applyAlignment="1" applyProtection="1">
      <alignment horizontal="right" vertical="top"/>
    </xf>
    <xf numFmtId="164" fontId="6" fillId="0" borderId="14" xfId="2" applyNumberFormat="1" applyFont="1" applyFill="1" applyBorder="1" applyAlignment="1" applyProtection="1">
      <alignment horizontal="right" vertical="top"/>
    </xf>
    <xf numFmtId="164" fontId="32" fillId="0" borderId="16" xfId="2" applyNumberFormat="1" applyFont="1" applyFill="1" applyBorder="1" applyAlignment="1" applyProtection="1">
      <alignment horizontal="right" vertical="top"/>
    </xf>
    <xf numFmtId="164" fontId="28" fillId="0" borderId="16" xfId="1" applyNumberFormat="1" applyFont="1" applyFill="1" applyBorder="1" applyAlignment="1" applyProtection="1">
      <alignment horizontal="right" vertical="top" wrapText="1"/>
    </xf>
    <xf numFmtId="164" fontId="28" fillId="0" borderId="16" xfId="1" applyNumberFormat="1" applyFont="1" applyBorder="1" applyAlignment="1">
      <alignment horizontal="right" vertical="top"/>
    </xf>
    <xf numFmtId="164" fontId="0" fillId="0" borderId="41" xfId="0" applyNumberFormat="1" applyBorder="1"/>
    <xf numFmtId="164" fontId="28" fillId="0" borderId="42" xfId="1" applyNumberFormat="1" applyFont="1" applyBorder="1" applyAlignment="1">
      <alignment horizontal="right" vertical="top"/>
    </xf>
    <xf numFmtId="164" fontId="6" fillId="6" borderId="43" xfId="0" applyNumberFormat="1" applyFont="1" applyFill="1" applyBorder="1" applyAlignment="1">
      <alignment horizontal="right" vertical="top"/>
    </xf>
    <xf numFmtId="49" fontId="1" fillId="0" borderId="4" xfId="0" applyNumberFormat="1" applyFont="1" applyBorder="1" applyAlignment="1">
      <alignment horizontal="left" vertical="center"/>
    </xf>
    <xf numFmtId="0" fontId="0" fillId="0" borderId="0" xfId="0" applyAlignment="1">
      <alignment wrapText="1"/>
    </xf>
    <xf numFmtId="0" fontId="0" fillId="0" borderId="25" xfId="0" applyBorder="1" applyAlignment="1">
      <alignment horizontal="center" wrapText="1"/>
    </xf>
    <xf numFmtId="0" fontId="0" fillId="0" borderId="14" xfId="0" applyBorder="1" applyAlignment="1">
      <alignment horizontal="center" wrapText="1"/>
    </xf>
    <xf numFmtId="0" fontId="0" fillId="0" borderId="0" xfId="0" applyAlignment="1">
      <alignment horizontal="center" wrapText="1"/>
    </xf>
    <xf numFmtId="0" fontId="6" fillId="0" borderId="4" xfId="2" applyFont="1" applyFill="1" applyBorder="1" applyAlignment="1" applyProtection="1">
      <alignment horizontal="left" vertical="top"/>
      <protection locked="0"/>
    </xf>
    <xf numFmtId="0" fontId="6" fillId="0" borderId="15" xfId="2" applyFont="1" applyFill="1" applyBorder="1" applyAlignment="1" applyProtection="1">
      <alignment horizontal="left" vertical="top"/>
    </xf>
    <xf numFmtId="0" fontId="29" fillId="4" borderId="4" xfId="0" applyFont="1" applyFill="1" applyBorder="1" applyAlignment="1">
      <alignment horizontal="right" vertical="top"/>
    </xf>
    <xf numFmtId="0" fontId="29" fillId="4" borderId="0" xfId="0" applyFont="1" applyFill="1" applyAlignment="1" applyProtection="1">
      <alignment horizontal="right" vertical="top"/>
      <protection locked="0"/>
    </xf>
    <xf numFmtId="0" fontId="29" fillId="4" borderId="11" xfId="0" applyFont="1" applyFill="1" applyBorder="1" applyAlignment="1" applyProtection="1">
      <alignment horizontal="right" vertical="top"/>
      <protection locked="0"/>
    </xf>
    <xf numFmtId="0" fontId="29" fillId="0" borderId="4" xfId="0" applyFont="1" applyBorder="1" applyAlignment="1">
      <alignment vertical="center"/>
    </xf>
    <xf numFmtId="0" fontId="29" fillId="0" borderId="0" xfId="2" applyFont="1" applyFill="1" applyBorder="1" applyAlignment="1" applyProtection="1">
      <alignment vertical="top"/>
    </xf>
    <xf numFmtId="0" fontId="29" fillId="0" borderId="15" xfId="2" applyFont="1" applyFill="1" applyBorder="1" applyAlignment="1" applyProtection="1">
      <alignment vertical="top"/>
    </xf>
    <xf numFmtId="0" fontId="6" fillId="0" borderId="4" xfId="0" applyFont="1" applyBorder="1" applyAlignment="1" applyProtection="1">
      <alignment horizontal="left" vertical="top"/>
      <protection locked="0"/>
    </xf>
    <xf numFmtId="0" fontId="6" fillId="0" borderId="0" xfId="2" applyFont="1" applyFill="1" applyBorder="1" applyAlignment="1" applyProtection="1">
      <alignment horizontal="left" vertical="top" wrapText="1"/>
    </xf>
    <xf numFmtId="164" fontId="8" fillId="0" borderId="16" xfId="1" applyNumberFormat="1" applyFill="1" applyBorder="1" applyAlignment="1" applyProtection="1">
      <alignment horizontal="right" vertical="top" wrapText="1"/>
    </xf>
    <xf numFmtId="0" fontId="6" fillId="0" borderId="15" xfId="2" applyFont="1" applyFill="1" applyBorder="1" applyAlignment="1" applyProtection="1">
      <alignment horizontal="left" vertical="top" wrapText="1"/>
    </xf>
    <xf numFmtId="0" fontId="6" fillId="0" borderId="15" xfId="0" applyFont="1" applyBorder="1" applyAlignment="1">
      <alignment horizontal="left" vertical="top"/>
    </xf>
    <xf numFmtId="164" fontId="8" fillId="0" borderId="42" xfId="1" applyNumberFormat="1" applyBorder="1" applyAlignment="1">
      <alignment horizontal="right" vertical="top"/>
    </xf>
    <xf numFmtId="0" fontId="6" fillId="6" borderId="0" xfId="0" applyFont="1" applyFill="1" applyAlignment="1" applyProtection="1">
      <alignment horizontal="left" vertical="top"/>
      <protection locked="0"/>
    </xf>
    <xf numFmtId="0" fontId="6" fillId="6" borderId="0" xfId="0" applyFont="1" applyFill="1" applyAlignment="1">
      <alignment horizontal="left" vertical="top"/>
    </xf>
    <xf numFmtId="0" fontId="6" fillId="6" borderId="0" xfId="0" applyFont="1" applyFill="1" applyAlignment="1">
      <alignment horizontal="right" vertical="top"/>
    </xf>
    <xf numFmtId="0" fontId="6" fillId="6" borderId="11" xfId="0" applyFont="1" applyFill="1" applyBorder="1" applyAlignment="1">
      <alignment horizontal="left" vertical="top"/>
    </xf>
    <xf numFmtId="49" fontId="1" fillId="0" borderId="6" xfId="0" applyNumberFormat="1" applyFont="1" applyBorder="1" applyAlignment="1">
      <alignment horizontal="left" vertical="center"/>
    </xf>
    <xf numFmtId="0" fontId="0" fillId="0" borderId="25" xfId="0" applyBorder="1" applyAlignment="1">
      <alignment wrapText="1"/>
    </xf>
    <xf numFmtId="164" fontId="30" fillId="4" borderId="30" xfId="0" applyNumberFormat="1" applyFont="1" applyFill="1" applyBorder="1" applyAlignment="1">
      <alignment horizontal="right" vertical="top"/>
    </xf>
    <xf numFmtId="171" fontId="29" fillId="0" borderId="14" xfId="2" applyNumberFormat="1" applyFont="1" applyFill="1" applyBorder="1" applyAlignment="1" applyProtection="1">
      <alignment vertical="top"/>
    </xf>
    <xf numFmtId="171" fontId="6" fillId="6" borderId="43" xfId="0" applyNumberFormat="1" applyFont="1" applyFill="1" applyBorder="1" applyAlignment="1">
      <alignment horizontal="right" vertical="top"/>
    </xf>
    <xf numFmtId="0" fontId="29" fillId="0" borderId="0" xfId="0" applyFont="1" applyAlignment="1">
      <alignment horizontal="right" vertical="top"/>
    </xf>
    <xf numFmtId="8" fontId="29" fillId="0" borderId="30" xfId="0" applyNumberFormat="1" applyFont="1" applyBorder="1" applyAlignment="1">
      <alignment horizontal="right" vertical="top"/>
    </xf>
    <xf numFmtId="164" fontId="29" fillId="0" borderId="24" xfId="2" applyNumberFormat="1" applyFont="1" applyFill="1" applyBorder="1" applyAlignment="1" applyProtection="1">
      <alignment horizontal="right" vertical="top"/>
    </xf>
    <xf numFmtId="164" fontId="6" fillId="6" borderId="30" xfId="0" applyNumberFormat="1" applyFont="1" applyFill="1" applyBorder="1" applyAlignment="1">
      <alignment horizontal="right" vertical="top"/>
    </xf>
    <xf numFmtId="8" fontId="1" fillId="0" borderId="30" xfId="0" applyNumberFormat="1" applyFont="1" applyBorder="1"/>
    <xf numFmtId="164" fontId="8" fillId="7" borderId="11" xfId="1" applyNumberFormat="1" applyFill="1" applyBorder="1"/>
    <xf numFmtId="0" fontId="3" fillId="0" borderId="0" xfId="0" applyFont="1" applyAlignment="1">
      <alignment horizontal="right"/>
    </xf>
    <xf numFmtId="0" fontId="0" fillId="4" borderId="0" xfId="0" applyFill="1" applyAlignment="1">
      <alignment horizontal="right"/>
    </xf>
    <xf numFmtId="0" fontId="0" fillId="3" borderId="0" xfId="0" applyFill="1" applyAlignment="1">
      <alignment horizontal="right"/>
    </xf>
    <xf numFmtId="0" fontId="14" fillId="0" borderId="0" xfId="0" applyFont="1" applyAlignment="1">
      <alignment horizontal="right"/>
    </xf>
    <xf numFmtId="0" fontId="0" fillId="6" borderId="0" xfId="0" applyFill="1" applyAlignment="1">
      <alignment horizontal="right"/>
    </xf>
    <xf numFmtId="0" fontId="0" fillId="7" borderId="0" xfId="0" applyFill="1" applyAlignment="1">
      <alignment horizontal="right"/>
    </xf>
    <xf numFmtId="0" fontId="0" fillId="7" borderId="0" xfId="0" applyFill="1" applyAlignment="1">
      <alignment horizontal="right" indent="1"/>
    </xf>
    <xf numFmtId="0" fontId="1" fillId="0" borderId="0" xfId="0" applyFont="1" applyAlignment="1">
      <alignment horizontal="left"/>
    </xf>
    <xf numFmtId="0" fontId="26" fillId="0" borderId="0" xfId="0" applyFont="1" applyAlignment="1">
      <alignment horizontal="left"/>
    </xf>
    <xf numFmtId="164" fontId="1" fillId="0" borderId="0" xfId="0" applyNumberFormat="1" applyFont="1" applyAlignment="1">
      <alignment horizontal="left"/>
    </xf>
    <xf numFmtId="0" fontId="0" fillId="0" borderId="0" xfId="0" applyAlignment="1">
      <alignment horizontal="left"/>
    </xf>
    <xf numFmtId="0" fontId="3" fillId="0" borderId="0" xfId="0" applyFont="1" applyAlignment="1">
      <alignment horizontal="left"/>
    </xf>
    <xf numFmtId="0" fontId="2" fillId="0" borderId="0" xfId="0" applyFont="1" applyAlignment="1">
      <alignment horizontal="left"/>
    </xf>
    <xf numFmtId="0" fontId="8" fillId="0" borderId="0" xfId="1" applyFill="1" applyBorder="1" applyAlignment="1" applyProtection="1">
      <alignment horizontal="left" vertical="top"/>
    </xf>
    <xf numFmtId="0" fontId="8" fillId="0" borderId="0" xfId="1" applyFill="1" applyBorder="1" applyAlignment="1">
      <alignment horizontal="left" vertical="top"/>
    </xf>
    <xf numFmtId="0" fontId="8" fillId="0" borderId="0" xfId="1" applyBorder="1" applyAlignment="1">
      <alignment horizontal="left" vertical="top"/>
    </xf>
    <xf numFmtId="164" fontId="8" fillId="0" borderId="20" xfId="1" applyNumberFormat="1" applyBorder="1"/>
    <xf numFmtId="164" fontId="8" fillId="0" borderId="21" xfId="1" applyNumberFormat="1" applyBorder="1"/>
    <xf numFmtId="164" fontId="8" fillId="7" borderId="10" xfId="1" applyNumberFormat="1" applyFill="1" applyBorder="1"/>
    <xf numFmtId="0" fontId="0" fillId="0" borderId="0" xfId="0" applyAlignment="1">
      <alignment horizontal="left" indent="1"/>
    </xf>
    <xf numFmtId="0" fontId="0" fillId="0" borderId="2" xfId="0" applyBorder="1" applyAlignment="1">
      <alignment horizontal="left" indent="1"/>
    </xf>
    <xf numFmtId="164" fontId="1" fillId="0" borderId="8" xfId="0" applyNumberFormat="1" applyFont="1" applyBorder="1" applyAlignment="1">
      <alignment horizontal="left" indent="1"/>
    </xf>
    <xf numFmtId="0" fontId="5" fillId="0" borderId="0" xfId="0" applyFont="1" applyAlignment="1">
      <alignment horizontal="left" indent="1"/>
    </xf>
    <xf numFmtId="0" fontId="1" fillId="0" borderId="0" xfId="0" applyFont="1" applyAlignment="1">
      <alignment horizontal="left" indent="1"/>
    </xf>
    <xf numFmtId="0" fontId="0" fillId="0" borderId="3" xfId="0" applyBorder="1" applyAlignment="1">
      <alignment horizontal="left" indent="1"/>
    </xf>
    <xf numFmtId="0" fontId="0" fillId="0" borderId="23" xfId="0" applyBorder="1" applyAlignment="1">
      <alignment horizontal="left" indent="1"/>
    </xf>
    <xf numFmtId="0" fontId="0" fillId="0" borderId="6" xfId="0" applyBorder="1" applyAlignment="1">
      <alignment horizontal="left" indent="1"/>
    </xf>
    <xf numFmtId="0" fontId="0" fillId="0" borderId="8" xfId="0" applyBorder="1" applyAlignment="1">
      <alignment horizontal="left" indent="1"/>
    </xf>
    <xf numFmtId="0" fontId="0" fillId="0" borderId="47" xfId="0" applyBorder="1" applyAlignment="1">
      <alignment horizontal="left" indent="1"/>
    </xf>
    <xf numFmtId="0" fontId="0" fillId="0" borderId="0" xfId="0" applyAlignment="1">
      <alignment horizontal="right" indent="1"/>
    </xf>
    <xf numFmtId="0" fontId="0" fillId="0" borderId="23" xfId="0" applyBorder="1" applyAlignment="1">
      <alignment horizontal="right" indent="1"/>
    </xf>
    <xf numFmtId="164" fontId="0" fillId="0" borderId="47" xfId="0" applyNumberFormat="1" applyBorder="1" applyAlignment="1">
      <alignment horizontal="right" indent="1"/>
    </xf>
    <xf numFmtId="0" fontId="23" fillId="0" borderId="1" xfId="0" applyFont="1" applyBorder="1" applyAlignment="1">
      <alignment vertical="top" wrapText="1"/>
    </xf>
    <xf numFmtId="0" fontId="24" fillId="0" borderId="25" xfId="0" applyFont="1" applyBorder="1" applyAlignment="1">
      <alignment horizontal="center" vertical="top" wrapText="1"/>
    </xf>
    <xf numFmtId="0" fontId="24" fillId="0" borderId="30" xfId="0" applyFont="1" applyBorder="1" applyAlignment="1">
      <alignment horizontal="center" vertical="top" wrapText="1"/>
    </xf>
    <xf numFmtId="0" fontId="24" fillId="0" borderId="29" xfId="0" applyFont="1" applyBorder="1" applyAlignment="1">
      <alignment horizontal="center" vertical="top" wrapText="1"/>
    </xf>
    <xf numFmtId="0" fontId="24" fillId="0" borderId="10" xfId="0" applyFont="1" applyBorder="1" applyAlignment="1">
      <alignment horizontal="center" vertical="top" wrapText="1"/>
    </xf>
    <xf numFmtId="0" fontId="24" fillId="0" borderId="11" xfId="0" applyFont="1" applyBorder="1" applyAlignment="1">
      <alignment horizontal="center" vertical="top" wrapText="1"/>
    </xf>
    <xf numFmtId="0" fontId="0" fillId="0" borderId="0" xfId="0" applyAlignment="1">
      <alignment vertical="top"/>
    </xf>
    <xf numFmtId="0" fontId="23" fillId="0" borderId="10" xfId="0" applyFont="1" applyBorder="1" applyAlignment="1">
      <alignment vertical="top" wrapText="1"/>
    </xf>
    <xf numFmtId="0" fontId="0" fillId="0" borderId="0" xfId="0" applyAlignment="1">
      <alignment horizontal="left" wrapText="1" indent="1"/>
    </xf>
    <xf numFmtId="44" fontId="0" fillId="0" borderId="0" xfId="7" applyFont="1" applyAlignment="1">
      <alignment horizontal="left" indent="1"/>
    </xf>
    <xf numFmtId="0" fontId="4" fillId="0" borderId="0" xfId="0" applyFont="1" applyAlignment="1">
      <alignment horizontal="left" indent="1"/>
    </xf>
    <xf numFmtId="0" fontId="0" fillId="0" borderId="23" xfId="0" applyBorder="1" applyAlignment="1">
      <alignment horizontal="left" wrapText="1" indent="1"/>
    </xf>
    <xf numFmtId="44" fontId="0" fillId="0" borderId="23" xfId="7" applyFont="1" applyBorder="1" applyAlignment="1">
      <alignment horizontal="left" indent="1"/>
    </xf>
    <xf numFmtId="0" fontId="0" fillId="0" borderId="47" xfId="0" applyBorder="1" applyAlignment="1">
      <alignment horizontal="left" wrapText="1" indent="1"/>
    </xf>
    <xf numFmtId="44" fontId="0" fillId="0" borderId="47" xfId="7" applyFont="1" applyBorder="1" applyAlignment="1">
      <alignment horizontal="left" indent="1"/>
    </xf>
    <xf numFmtId="0" fontId="0" fillId="0" borderId="46" xfId="0" applyBorder="1" applyAlignment="1">
      <alignment horizontal="left" wrapText="1" indent="1"/>
    </xf>
    <xf numFmtId="0" fontId="0" fillId="0" borderId="46" xfId="0" applyBorder="1" applyAlignment="1">
      <alignment horizontal="left" indent="1"/>
    </xf>
    <xf numFmtId="44" fontId="0" fillId="0" borderId="46" xfId="7" applyFont="1" applyBorder="1" applyAlignment="1">
      <alignment horizontal="left" indent="1"/>
    </xf>
    <xf numFmtId="0" fontId="6" fillId="0" borderId="0" xfId="2" applyFont="1" applyFill="1" applyBorder="1" applyAlignment="1" applyProtection="1">
      <alignment vertical="top"/>
    </xf>
    <xf numFmtId="0" fontId="0" fillId="0" borderId="10" xfId="0" applyBorder="1"/>
    <xf numFmtId="0" fontId="0" fillId="0" borderId="11" xfId="0" applyBorder="1"/>
    <xf numFmtId="164" fontId="0" fillId="0" borderId="0" xfId="0" applyNumberFormat="1" applyAlignment="1">
      <alignment horizontal="right"/>
    </xf>
    <xf numFmtId="0" fontId="0" fillId="0" borderId="14" xfId="0" applyBorder="1" applyAlignment="1" applyProtection="1">
      <alignment wrapText="1"/>
      <protection locked="0"/>
    </xf>
    <xf numFmtId="164" fontId="0" fillId="0" borderId="15" xfId="0" applyNumberFormat="1" applyBorder="1" applyProtection="1">
      <protection locked="0"/>
    </xf>
    <xf numFmtId="164" fontId="1" fillId="0" borderId="16" xfId="0" applyNumberFormat="1" applyFont="1" applyBorder="1" applyProtection="1">
      <protection locked="0"/>
    </xf>
    <xf numFmtId="0" fontId="0" fillId="0" borderId="33" xfId="0" applyBorder="1" applyAlignment="1" applyProtection="1">
      <alignment wrapText="1"/>
      <protection locked="0"/>
    </xf>
    <xf numFmtId="164" fontId="0" fillId="0" borderId="3" xfId="0" applyNumberFormat="1" applyBorder="1" applyAlignment="1" applyProtection="1">
      <alignment wrapText="1"/>
      <protection locked="0"/>
    </xf>
    <xf numFmtId="164" fontId="0" fillId="0" borderId="23" xfId="0" applyNumberFormat="1" applyBorder="1" applyAlignment="1" applyProtection="1">
      <alignment wrapText="1"/>
      <protection locked="0"/>
    </xf>
    <xf numFmtId="0" fontId="0" fillId="0" borderId="31" xfId="0" applyBorder="1" applyAlignment="1" applyProtection="1">
      <alignment wrapText="1"/>
      <protection locked="0"/>
    </xf>
    <xf numFmtId="164" fontId="0" fillId="0" borderId="6" xfId="0" applyNumberFormat="1" applyBorder="1" applyAlignment="1" applyProtection="1">
      <alignment wrapText="1"/>
      <protection locked="0"/>
    </xf>
    <xf numFmtId="164" fontId="0" fillId="0" borderId="14" xfId="0" applyNumberFormat="1" applyBorder="1" applyProtection="1">
      <protection locked="0"/>
    </xf>
    <xf numFmtId="164" fontId="6" fillId="0" borderId="14" xfId="2" applyNumberFormat="1" applyFont="1" applyFill="1" applyBorder="1" applyAlignment="1" applyProtection="1">
      <alignment horizontal="right" vertical="top"/>
      <protection locked="0"/>
    </xf>
    <xf numFmtId="164" fontId="0" fillId="0" borderId="41" xfId="0" applyNumberFormat="1" applyBorder="1" applyProtection="1">
      <protection locked="0"/>
    </xf>
    <xf numFmtId="3" fontId="24" fillId="0" borderId="15" xfId="0" applyNumberFormat="1" applyFont="1" applyBorder="1" applyProtection="1">
      <protection locked="0"/>
    </xf>
    <xf numFmtId="0" fontId="24" fillId="0" borderId="0" xfId="0" applyFont="1" applyAlignment="1" applyProtection="1">
      <alignment wrapText="1"/>
      <protection locked="0"/>
    </xf>
    <xf numFmtId="164" fontId="24" fillId="0" borderId="24" xfId="0" applyNumberFormat="1" applyFont="1" applyBorder="1" applyProtection="1">
      <protection locked="0"/>
    </xf>
    <xf numFmtId="164" fontId="24" fillId="0" borderId="0" xfId="0" applyNumberFormat="1" applyFont="1" applyProtection="1">
      <protection locked="0"/>
    </xf>
    <xf numFmtId="0" fontId="24" fillId="0" borderId="0" xfId="0" applyFont="1" applyProtection="1">
      <protection locked="0"/>
    </xf>
    <xf numFmtId="0" fontId="24" fillId="9" borderId="0" xfId="0" applyFont="1" applyFill="1" applyProtection="1">
      <protection locked="0"/>
    </xf>
    <xf numFmtId="164" fontId="24" fillId="9" borderId="24" xfId="0" applyNumberFormat="1" applyFont="1" applyFill="1" applyBorder="1" applyProtection="1">
      <protection locked="0"/>
    </xf>
    <xf numFmtId="164" fontId="24" fillId="9" borderId="0" xfId="0" applyNumberFormat="1" applyFont="1" applyFill="1" applyProtection="1">
      <protection locked="0"/>
    </xf>
    <xf numFmtId="164" fontId="24" fillId="0" borderId="25" xfId="0" applyNumberFormat="1" applyFont="1" applyBorder="1"/>
    <xf numFmtId="164" fontId="24" fillId="10" borderId="25" xfId="0" applyNumberFormat="1" applyFont="1" applyFill="1" applyBorder="1"/>
    <xf numFmtId="164" fontId="24" fillId="9" borderId="25" xfId="0" applyNumberFormat="1" applyFont="1" applyFill="1" applyBorder="1"/>
    <xf numFmtId="164" fontId="24" fillId="9" borderId="26" xfId="0" applyNumberFormat="1" applyFont="1" applyFill="1" applyBorder="1" applyProtection="1">
      <protection locked="0"/>
    </xf>
    <xf numFmtId="164" fontId="24" fillId="9" borderId="27" xfId="0" applyNumberFormat="1" applyFont="1" applyFill="1" applyBorder="1" applyProtection="1">
      <protection locked="0"/>
    </xf>
    <xf numFmtId="164" fontId="6" fillId="0" borderId="14" xfId="2" applyNumberFormat="1" applyFont="1" applyFill="1" applyBorder="1" applyAlignment="1" applyProtection="1">
      <alignment horizontal="right" vertical="top" wrapText="1"/>
      <protection locked="0"/>
    </xf>
    <xf numFmtId="164" fontId="6" fillId="0" borderId="14" xfId="0" applyNumberFormat="1" applyFont="1" applyBorder="1" applyAlignment="1" applyProtection="1">
      <alignment horizontal="right" vertical="top"/>
      <protection locked="0"/>
    </xf>
    <xf numFmtId="164" fontId="6" fillId="0" borderId="41" xfId="0" applyNumberFormat="1" applyFont="1" applyBorder="1" applyAlignment="1" applyProtection="1">
      <alignment horizontal="right" vertical="top"/>
      <protection locked="0"/>
    </xf>
    <xf numFmtId="164" fontId="6" fillId="0" borderId="24" xfId="2" applyNumberFormat="1" applyFont="1" applyFill="1" applyBorder="1" applyAlignment="1" applyProtection="1">
      <alignment horizontal="right" vertical="top"/>
      <protection locked="0"/>
    </xf>
    <xf numFmtId="164" fontId="8" fillId="4" borderId="52" xfId="0" applyNumberFormat="1" applyFont="1" applyFill="1" applyBorder="1"/>
    <xf numFmtId="0" fontId="0" fillId="0" borderId="0" xfId="0" applyAlignment="1" applyProtection="1">
      <alignment wrapText="1"/>
      <protection locked="0"/>
    </xf>
    <xf numFmtId="164" fontId="8" fillId="6" borderId="52" xfId="0" applyNumberFormat="1" applyFont="1" applyFill="1" applyBorder="1"/>
    <xf numFmtId="0" fontId="24" fillId="0" borderId="0" xfId="0" applyFont="1" applyAlignment="1" applyProtection="1">
      <alignment horizontal="left" wrapText="1"/>
      <protection locked="0"/>
    </xf>
    <xf numFmtId="0" fontId="0" fillId="3" borderId="0" xfId="0" applyFill="1" applyAlignment="1">
      <alignment horizontal="left"/>
    </xf>
    <xf numFmtId="0" fontId="34" fillId="0" borderId="0" xfId="0" applyFont="1" applyAlignment="1">
      <alignment vertical="center"/>
    </xf>
    <xf numFmtId="0" fontId="6" fillId="0" borderId="0" xfId="0" applyFont="1" applyAlignment="1">
      <alignment vertical="center"/>
    </xf>
    <xf numFmtId="0" fontId="6" fillId="12" borderId="0" xfId="0" applyFont="1" applyFill="1" applyAlignment="1">
      <alignment vertical="center"/>
    </xf>
    <xf numFmtId="0" fontId="6" fillId="13" borderId="0" xfId="0" applyFont="1" applyFill="1" applyAlignment="1">
      <alignment vertical="center" wrapText="1"/>
    </xf>
    <xf numFmtId="0" fontId="6" fillId="14" borderId="0" xfId="0" applyFont="1" applyFill="1" applyAlignment="1">
      <alignment vertical="center" wrapText="1"/>
    </xf>
    <xf numFmtId="0" fontId="35" fillId="0" borderId="0" xfId="8" applyFont="1" applyBorder="1" applyAlignment="1" applyProtection="1">
      <alignment horizontal="left" vertical="center"/>
    </xf>
    <xf numFmtId="164" fontId="24" fillId="0" borderId="49" xfId="0" applyNumberFormat="1" applyFont="1" applyBorder="1"/>
    <xf numFmtId="0" fontId="0" fillId="9" borderId="0" xfId="0" applyFill="1" applyAlignment="1" applyProtection="1">
      <alignment wrapText="1"/>
      <protection locked="0"/>
    </xf>
    <xf numFmtId="164" fontId="25" fillId="4" borderId="52" xfId="0" applyNumberFormat="1" applyFont="1" applyFill="1" applyBorder="1"/>
    <xf numFmtId="164" fontId="25" fillId="6" borderId="52" xfId="0" applyNumberFormat="1" applyFont="1" applyFill="1" applyBorder="1"/>
    <xf numFmtId="164" fontId="0" fillId="0" borderId="46" xfId="0" applyNumberFormat="1" applyBorder="1" applyProtection="1">
      <protection locked="0"/>
    </xf>
    <xf numFmtId="164" fontId="24" fillId="0" borderId="48" xfId="0" applyNumberFormat="1" applyFont="1" applyBorder="1"/>
    <xf numFmtId="8" fontId="36" fillId="15" borderId="0" xfId="0" applyNumberFormat="1" applyFont="1" applyFill="1" applyAlignment="1">
      <alignment horizontal="right" wrapText="1"/>
    </xf>
    <xf numFmtId="8" fontId="36" fillId="16" borderId="0" xfId="0" applyNumberFormat="1" applyFont="1" applyFill="1" applyAlignment="1">
      <alignment horizontal="right" wrapText="1"/>
    </xf>
    <xf numFmtId="164" fontId="0" fillId="0" borderId="48" xfId="0" applyNumberFormat="1" applyBorder="1" applyProtection="1">
      <protection locked="0"/>
    </xf>
    <xf numFmtId="164" fontId="8" fillId="3" borderId="11" xfId="1" applyNumberFormat="1" applyFill="1" applyBorder="1"/>
    <xf numFmtId="0" fontId="0" fillId="0" borderId="18" xfId="0" applyBorder="1" applyAlignment="1">
      <alignment wrapText="1"/>
    </xf>
    <xf numFmtId="164" fontId="0" fillId="0" borderId="47" xfId="0" applyNumberFormat="1" applyBorder="1"/>
    <xf numFmtId="164" fontId="0" fillId="0" borderId="46" xfId="0" applyNumberFormat="1" applyBorder="1"/>
    <xf numFmtId="164" fontId="0" fillId="0" borderId="49" xfId="0" applyNumberFormat="1" applyBorder="1"/>
    <xf numFmtId="0" fontId="24" fillId="0" borderId="0" xfId="0" applyFont="1" applyAlignment="1">
      <alignment wrapText="1"/>
    </xf>
    <xf numFmtId="164" fontId="0" fillId="0" borderId="23" xfId="0" applyNumberFormat="1" applyBorder="1" applyProtection="1">
      <protection locked="0"/>
    </xf>
    <xf numFmtId="164" fontId="0" fillId="0" borderId="47" xfId="0" applyNumberFormat="1" applyBorder="1" applyProtection="1">
      <protection locked="0"/>
    </xf>
    <xf numFmtId="0" fontId="4" fillId="0" borderId="50" xfId="0" applyFont="1" applyBorder="1" applyAlignment="1">
      <alignment vertical="top" wrapText="1"/>
    </xf>
    <xf numFmtId="0" fontId="1" fillId="0" borderId="51" xfId="0" applyFont="1" applyBorder="1" applyAlignment="1">
      <alignment horizont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vertical="center"/>
    </xf>
    <xf numFmtId="0" fontId="11" fillId="0" borderId="57" xfId="0" applyFont="1" applyBorder="1" applyAlignment="1">
      <alignment vertical="center"/>
    </xf>
    <xf numFmtId="0" fontId="11" fillId="0" borderId="58" xfId="0" applyFont="1" applyBorder="1" applyAlignment="1">
      <alignment horizontal="center" vertical="center"/>
    </xf>
    <xf numFmtId="0" fontId="16" fillId="0" borderId="59" xfId="0" applyFont="1" applyBorder="1" applyAlignment="1">
      <alignment vertical="center" wrapText="1"/>
    </xf>
    <xf numFmtId="0" fontId="11" fillId="0" borderId="60" xfId="0" applyFont="1" applyBorder="1" applyAlignment="1">
      <alignment vertical="center"/>
    </xf>
    <xf numFmtId="0" fontId="11" fillId="0" borderId="61" xfId="0" applyFont="1" applyBorder="1" applyAlignment="1">
      <alignment vertical="center"/>
    </xf>
    <xf numFmtId="0" fontId="11" fillId="0" borderId="47" xfId="0" applyFont="1" applyBorder="1" applyAlignment="1">
      <alignment horizontal="center" vertical="center"/>
    </xf>
    <xf numFmtId="0" fontId="16" fillId="0" borderId="62" xfId="0" applyFont="1" applyBorder="1" applyAlignment="1">
      <alignment vertical="center" wrapText="1"/>
    </xf>
    <xf numFmtId="0" fontId="11" fillId="0" borderId="63" xfId="0" applyFont="1" applyBorder="1" applyAlignment="1">
      <alignment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65" xfId="0" applyFont="1" applyBorder="1" applyAlignment="1">
      <alignment horizontal="center" vertical="center"/>
    </xf>
    <xf numFmtId="0" fontId="16" fillId="0" borderId="66" xfId="0" applyFont="1" applyBorder="1" applyAlignment="1">
      <alignment vertical="center" wrapText="1"/>
    </xf>
    <xf numFmtId="0" fontId="0" fillId="0" borderId="67" xfId="0" applyBorder="1" applyAlignment="1">
      <alignment vertical="center"/>
    </xf>
    <xf numFmtId="0" fontId="0" fillId="0" borderId="68" xfId="0" applyBorder="1" applyAlignment="1">
      <alignment horizontal="right" vertical="center"/>
    </xf>
    <xf numFmtId="0" fontId="0" fillId="0" borderId="68" xfId="0" applyBorder="1" applyAlignment="1">
      <alignment horizontal="center" vertical="center"/>
    </xf>
    <xf numFmtId="0" fontId="0" fillId="0" borderId="69" xfId="0" applyBorder="1" applyAlignment="1">
      <alignment vertical="center"/>
    </xf>
    <xf numFmtId="0" fontId="0" fillId="0" borderId="70" xfId="0" applyBorder="1"/>
    <xf numFmtId="0" fontId="0" fillId="0" borderId="71" xfId="0" applyBorder="1"/>
    <xf numFmtId="168" fontId="12" fillId="0" borderId="73" xfId="5" applyNumberFormat="1" applyBorder="1" applyProtection="1"/>
    <xf numFmtId="0" fontId="0" fillId="0" borderId="47" xfId="0" applyBorder="1"/>
    <xf numFmtId="0" fontId="0" fillId="0" borderId="74" xfId="0" applyBorder="1"/>
    <xf numFmtId="0" fontId="0" fillId="0" borderId="75" xfId="0" applyBorder="1"/>
    <xf numFmtId="164" fontId="12" fillId="0" borderId="76" xfId="5" applyNumberFormat="1" applyBorder="1" applyProtection="1">
      <protection locked="0"/>
    </xf>
    <xf numFmtId="0" fontId="0" fillId="0" borderId="77" xfId="0" applyBorder="1" applyAlignment="1">
      <alignment horizontal="left" indent="1"/>
    </xf>
    <xf numFmtId="0" fontId="0" fillId="0" borderId="78" xfId="0" applyBorder="1" applyAlignment="1">
      <alignment horizontal="left" indent="1"/>
    </xf>
    <xf numFmtId="0" fontId="0" fillId="0" borderId="77" xfId="0" applyBorder="1"/>
    <xf numFmtId="0" fontId="0" fillId="0" borderId="78" xfId="0" applyBorder="1" applyAlignment="1">
      <alignment horizontal="left" wrapText="1" indent="1"/>
    </xf>
    <xf numFmtId="0" fontId="1" fillId="0" borderId="79" xfId="0" applyFont="1" applyBorder="1" applyAlignment="1">
      <alignment horizontal="center" wrapText="1"/>
    </xf>
    <xf numFmtId="0" fontId="1" fillId="0" borderId="80" xfId="0" applyFont="1" applyBorder="1" applyAlignment="1">
      <alignment horizontal="center" wrapText="1"/>
    </xf>
    <xf numFmtId="0" fontId="1" fillId="0" borderId="81" xfId="0" applyFont="1" applyBorder="1" applyAlignment="1">
      <alignment horizontal="center" wrapText="1"/>
    </xf>
    <xf numFmtId="164" fontId="8" fillId="7" borderId="79" xfId="1" applyNumberFormat="1" applyFill="1" applyBorder="1"/>
    <xf numFmtId="164" fontId="8" fillId="7" borderId="80" xfId="1" applyNumberFormat="1" applyFill="1" applyBorder="1"/>
    <xf numFmtId="164" fontId="19" fillId="7" borderId="80" xfId="1" applyNumberFormat="1" applyFont="1" applyFill="1" applyBorder="1"/>
    <xf numFmtId="164" fontId="4" fillId="7" borderId="80" xfId="0" applyNumberFormat="1" applyFont="1" applyFill="1" applyBorder="1"/>
    <xf numFmtId="164" fontId="8" fillId="3" borderId="80" xfId="1" applyNumberFormat="1" applyFill="1" applyBorder="1"/>
    <xf numFmtId="164" fontId="19" fillId="3" borderId="80" xfId="1" applyNumberFormat="1" applyFont="1" applyFill="1" applyBorder="1"/>
    <xf numFmtId="164" fontId="4" fillId="3" borderId="81" xfId="0" applyNumberFormat="1" applyFont="1" applyFill="1" applyBorder="1"/>
    <xf numFmtId="0" fontId="1" fillId="7" borderId="79" xfId="0" applyFont="1" applyFill="1" applyBorder="1"/>
    <xf numFmtId="0" fontId="1" fillId="7" borderId="80" xfId="0" applyFont="1" applyFill="1" applyBorder="1"/>
    <xf numFmtId="0" fontId="1" fillId="3" borderId="80" xfId="0" applyFont="1" applyFill="1" applyBorder="1"/>
    <xf numFmtId="0" fontId="0" fillId="3" borderId="81" xfId="0" applyFill="1" applyBorder="1"/>
    <xf numFmtId="0" fontId="0" fillId="0" borderId="70" xfId="0" applyBorder="1" applyAlignment="1" applyProtection="1">
      <alignment wrapText="1"/>
      <protection locked="0"/>
    </xf>
    <xf numFmtId="164" fontId="0" fillId="0" borderId="71" xfId="0" applyNumberFormat="1" applyBorder="1" applyProtection="1">
      <protection locked="0"/>
    </xf>
    <xf numFmtId="164" fontId="0" fillId="0" borderId="80" xfId="0" applyNumberFormat="1" applyBorder="1" applyProtection="1">
      <protection locked="0"/>
    </xf>
    <xf numFmtId="164" fontId="1" fillId="0" borderId="73" xfId="0" applyNumberFormat="1" applyFont="1" applyBorder="1" applyProtection="1">
      <protection locked="0"/>
    </xf>
    <xf numFmtId="0" fontId="0" fillId="0" borderId="18" xfId="0" applyBorder="1" applyAlignment="1" applyProtection="1">
      <alignment wrapText="1"/>
      <protection locked="0"/>
    </xf>
    <xf numFmtId="164" fontId="1" fillId="0" borderId="19" xfId="0" applyNumberFormat="1" applyFont="1" applyBorder="1" applyProtection="1">
      <protection locked="0"/>
    </xf>
    <xf numFmtId="0" fontId="0" fillId="0" borderId="74" xfId="0" applyBorder="1" applyAlignment="1" applyProtection="1">
      <alignment wrapText="1"/>
      <protection locked="0"/>
    </xf>
    <xf numFmtId="164" fontId="1" fillId="0" borderId="76" xfId="0" applyNumberFormat="1" applyFont="1" applyBorder="1" applyProtection="1">
      <protection locked="0"/>
    </xf>
    <xf numFmtId="0" fontId="0" fillId="0" borderId="70" xfId="0" applyBorder="1" applyAlignment="1">
      <alignment wrapText="1"/>
    </xf>
    <xf numFmtId="164" fontId="0" fillId="0" borderId="71" xfId="0" applyNumberFormat="1" applyBorder="1"/>
    <xf numFmtId="0" fontId="0" fillId="0" borderId="74" xfId="0" applyBorder="1" applyAlignment="1">
      <alignment wrapText="1"/>
    </xf>
    <xf numFmtId="0" fontId="5" fillId="0" borderId="82" xfId="0" applyFont="1" applyBorder="1" applyAlignment="1">
      <alignment vertical="top" wrapText="1"/>
    </xf>
    <xf numFmtId="164" fontId="0" fillId="0" borderId="77" xfId="0" applyNumberFormat="1" applyBorder="1" applyAlignment="1" applyProtection="1">
      <alignment wrapText="1"/>
      <protection locked="0"/>
    </xf>
    <xf numFmtId="164" fontId="0" fillId="0" borderId="47" xfId="0" applyNumberFormat="1" applyBorder="1" applyAlignment="1" applyProtection="1">
      <alignment wrapText="1"/>
      <protection locked="0"/>
    </xf>
    <xf numFmtId="164" fontId="0" fillId="0" borderId="46" xfId="0" applyNumberFormat="1" applyBorder="1" applyAlignment="1" applyProtection="1">
      <alignment wrapText="1"/>
      <protection locked="0"/>
    </xf>
    <xf numFmtId="164" fontId="8" fillId="7" borderId="83" xfId="1" applyNumberFormat="1" applyFill="1" applyBorder="1" applyAlignment="1">
      <alignment wrapText="1"/>
    </xf>
    <xf numFmtId="0" fontId="0" fillId="0" borderId="84" xfId="0" applyBorder="1" applyAlignment="1" applyProtection="1">
      <alignment wrapText="1"/>
      <protection locked="0"/>
    </xf>
    <xf numFmtId="0" fontId="0" fillId="0" borderId="84" xfId="0" applyBorder="1" applyAlignment="1">
      <alignment wrapText="1"/>
    </xf>
    <xf numFmtId="164" fontId="8" fillId="0" borderId="46" xfId="0" applyNumberFormat="1" applyFont="1" applyBorder="1" applyAlignment="1">
      <alignment wrapText="1"/>
    </xf>
    <xf numFmtId="164" fontId="0" fillId="0" borderId="78" xfId="0" applyNumberFormat="1" applyBorder="1" applyAlignment="1">
      <alignment horizontal="left" indent="1"/>
    </xf>
    <xf numFmtId="164" fontId="1" fillId="0" borderId="46" xfId="0" applyNumberFormat="1" applyFont="1" applyBorder="1" applyAlignment="1">
      <alignment horizontal="right" indent="1"/>
    </xf>
    <xf numFmtId="164" fontId="8" fillId="0" borderId="46" xfId="1" applyNumberFormat="1" applyBorder="1" applyAlignment="1">
      <alignment horizontal="right" indent="1"/>
    </xf>
    <xf numFmtId="0" fontId="24" fillId="0" borderId="52" xfId="0" applyFont="1" applyBorder="1" applyAlignment="1">
      <alignment vertical="top" wrapText="1"/>
    </xf>
    <xf numFmtId="0" fontId="24" fillId="0" borderId="83" xfId="0" applyFont="1" applyBorder="1" applyAlignment="1">
      <alignment vertical="top" wrapText="1"/>
    </xf>
    <xf numFmtId="0" fontId="24" fillId="0" borderId="85" xfId="0" applyFont="1" applyBorder="1" applyAlignment="1">
      <alignment vertical="top" wrapText="1"/>
    </xf>
    <xf numFmtId="0" fontId="24" fillId="0" borderId="85" xfId="0" applyFont="1" applyBorder="1" applyAlignment="1">
      <alignment horizontal="center" vertical="top" wrapText="1"/>
    </xf>
    <xf numFmtId="0" fontId="0" fillId="0" borderId="79" xfId="0" applyBorder="1" applyAlignment="1">
      <alignment horizontal="center" wrapText="1"/>
    </xf>
    <xf numFmtId="0" fontId="29" fillId="4" borderId="52" xfId="0" applyFont="1" applyFill="1" applyBorder="1" applyAlignment="1" applyProtection="1">
      <alignment horizontal="right" vertical="top"/>
      <protection locked="0"/>
    </xf>
    <xf numFmtId="0" fontId="6" fillId="4" borderId="85" xfId="0" applyFont="1" applyFill="1" applyBorder="1" applyAlignment="1" applyProtection="1">
      <alignment horizontal="left" vertical="top"/>
      <protection locked="0"/>
    </xf>
    <xf numFmtId="0" fontId="6" fillId="6" borderId="52" xfId="0" applyFont="1" applyFill="1" applyBorder="1" applyAlignment="1">
      <alignment horizontal="left" vertical="top"/>
    </xf>
    <xf numFmtId="0" fontId="0" fillId="6" borderId="85" xfId="0" applyFill="1" applyBorder="1"/>
    <xf numFmtId="8" fontId="29" fillId="0" borderId="85" xfId="0" applyNumberFormat="1" applyFont="1" applyBorder="1" applyAlignment="1">
      <alignment horizontal="right" vertical="top"/>
    </xf>
    <xf numFmtId="164" fontId="1" fillId="0" borderId="79" xfId="0" applyNumberFormat="1" applyFont="1" applyBorder="1" applyAlignment="1">
      <alignment horizontal="left"/>
    </xf>
    <xf numFmtId="164" fontId="23" fillId="0" borderId="80" xfId="0" applyNumberFormat="1" applyFont="1" applyBorder="1" applyAlignment="1">
      <alignment horizontal="right"/>
    </xf>
    <xf numFmtId="0" fontId="23" fillId="4" borderId="52" xfId="0" applyFont="1" applyFill="1" applyBorder="1"/>
    <xf numFmtId="0" fontId="23" fillId="4" borderId="86" xfId="0" applyFont="1" applyFill="1" applyBorder="1"/>
    <xf numFmtId="0" fontId="23" fillId="6" borderId="86" xfId="0" applyFont="1" applyFill="1" applyBorder="1"/>
    <xf numFmtId="0" fontId="23" fillId="6" borderId="85" xfId="0" applyFont="1" applyFill="1" applyBorder="1"/>
    <xf numFmtId="0" fontId="24" fillId="0" borderId="52" xfId="0" applyFont="1" applyBorder="1" applyAlignment="1">
      <alignment horizontal="center" wrapText="1"/>
    </xf>
    <xf numFmtId="0" fontId="24" fillId="0" borderId="86" xfId="0" applyFont="1" applyBorder="1" applyAlignment="1">
      <alignment horizontal="center" wrapText="1"/>
    </xf>
    <xf numFmtId="0" fontId="24" fillId="0" borderId="85" xfId="0" applyFont="1" applyBorder="1" applyAlignment="1">
      <alignment horizontal="center" wrapText="1"/>
    </xf>
    <xf numFmtId="164" fontId="0" fillId="0" borderId="87" xfId="0" applyNumberFormat="1" applyBorder="1" applyProtection="1">
      <protection locked="0"/>
    </xf>
    <xf numFmtId="164" fontId="25" fillId="4" borderId="86" xfId="0" applyNumberFormat="1" applyFont="1" applyFill="1" applyBorder="1"/>
    <xf numFmtId="164" fontId="25" fillId="6" borderId="86" xfId="0" applyNumberFormat="1" applyFont="1" applyFill="1" applyBorder="1"/>
    <xf numFmtId="164" fontId="24" fillId="0" borderId="87" xfId="0" applyNumberFormat="1" applyFont="1" applyBorder="1" applyProtection="1">
      <protection locked="0"/>
    </xf>
    <xf numFmtId="164" fontId="24" fillId="0" borderId="48" xfId="0" applyNumberFormat="1" applyFont="1" applyBorder="1" applyProtection="1">
      <protection locked="0"/>
    </xf>
    <xf numFmtId="164" fontId="24" fillId="0" borderId="87" xfId="0" applyNumberFormat="1" applyFont="1" applyBorder="1"/>
    <xf numFmtId="164" fontId="25" fillId="6" borderId="85" xfId="0" applyNumberFormat="1" applyFont="1" applyFill="1" applyBorder="1"/>
    <xf numFmtId="0" fontId="24" fillId="0" borderId="86" xfId="0" applyFont="1" applyBorder="1" applyAlignment="1">
      <alignment vertical="top" wrapText="1"/>
    </xf>
    <xf numFmtId="164" fontId="8" fillId="4" borderId="86" xfId="0" applyNumberFormat="1" applyFont="1" applyFill="1" applyBorder="1"/>
    <xf numFmtId="164" fontId="8" fillId="6" borderId="86" xfId="0" applyNumberFormat="1" applyFont="1" applyFill="1" applyBorder="1"/>
    <xf numFmtId="0" fontId="29" fillId="4" borderId="86" xfId="0" applyFont="1" applyFill="1" applyBorder="1" applyAlignment="1" applyProtection="1">
      <alignment horizontal="right" vertical="top"/>
      <protection locked="0"/>
    </xf>
    <xf numFmtId="0" fontId="0" fillId="0" borderId="92" xfId="0" applyBorder="1" applyAlignment="1">
      <alignment vertical="center"/>
    </xf>
    <xf numFmtId="0" fontId="0" fillId="0" borderId="93" xfId="0" applyBorder="1" applyAlignment="1">
      <alignment vertical="center"/>
    </xf>
    <xf numFmtId="0" fontId="39" fillId="0" borderId="79" xfId="0" applyFont="1" applyBorder="1" applyAlignment="1">
      <alignment horizontal="center" vertical="center"/>
    </xf>
    <xf numFmtId="0" fontId="39" fillId="0" borderId="94" xfId="0" applyFont="1" applyBorder="1" applyAlignment="1">
      <alignment horizontal="center" vertical="center"/>
    </xf>
    <xf numFmtId="0" fontId="40" fillId="0" borderId="81" xfId="0" applyFont="1" applyBorder="1" applyAlignment="1">
      <alignment horizontal="center" vertical="center"/>
    </xf>
    <xf numFmtId="0" fontId="39" fillId="0" borderId="95" xfId="0" applyFont="1" applyBorder="1" applyAlignment="1">
      <alignment horizontal="center" vertical="center"/>
    </xf>
    <xf numFmtId="0" fontId="40" fillId="0" borderId="96" xfId="0" applyFont="1" applyBorder="1" applyAlignment="1">
      <alignment horizontal="center" vertical="center"/>
    </xf>
    <xf numFmtId="172" fontId="0" fillId="0" borderId="0" xfId="0" applyNumberFormat="1" applyAlignment="1">
      <alignment vertical="center"/>
    </xf>
    <xf numFmtId="0" fontId="1" fillId="0" borderId="0" xfId="0" applyFont="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39" fillId="0" borderId="14" xfId="0" applyFont="1" applyBorder="1" applyAlignment="1">
      <alignment horizontal="center" vertical="center"/>
    </xf>
    <xf numFmtId="0" fontId="39" fillId="0" borderId="4" xfId="0" applyFont="1" applyBorder="1" applyAlignment="1">
      <alignment horizontal="center" vertical="center"/>
    </xf>
    <xf numFmtId="0" fontId="41" fillId="0" borderId="25" xfId="0" applyFont="1" applyBorder="1" applyAlignment="1">
      <alignment horizontal="center" vertical="center"/>
    </xf>
    <xf numFmtId="0" fontId="41" fillId="0" borderId="4" xfId="0" applyFont="1" applyBorder="1" applyAlignment="1">
      <alignment horizontal="center" vertical="center"/>
    </xf>
    <xf numFmtId="0" fontId="40" fillId="0" borderId="16" xfId="0" applyFont="1" applyBorder="1" applyAlignment="1">
      <alignment horizontal="center" vertical="center"/>
    </xf>
    <xf numFmtId="0" fontId="40" fillId="0" borderId="15" xfId="0" applyFont="1" applyBorder="1" applyAlignment="1">
      <alignment horizontal="center" vertical="center"/>
    </xf>
    <xf numFmtId="0" fontId="1" fillId="0" borderId="97" xfId="0" applyFont="1" applyBorder="1" applyAlignment="1">
      <alignment vertical="center"/>
    </xf>
    <xf numFmtId="0" fontId="1" fillId="0" borderId="98" xfId="0" applyFont="1" applyBorder="1" applyAlignment="1">
      <alignment vertical="center"/>
    </xf>
    <xf numFmtId="14" fontId="42" fillId="0" borderId="41" xfId="0" applyNumberFormat="1" applyFont="1" applyBorder="1" applyAlignment="1">
      <alignment horizontal="center" vertical="center" wrapText="1"/>
    </xf>
    <xf numFmtId="14" fontId="42" fillId="0" borderId="99" xfId="0" applyNumberFormat="1" applyFont="1" applyBorder="1" applyAlignment="1">
      <alignment horizontal="center" vertical="center" wrapText="1"/>
    </xf>
    <xf numFmtId="14" fontId="40" fillId="0" borderId="42" xfId="0" applyNumberFormat="1" applyFont="1" applyBorder="1" applyAlignment="1">
      <alignment horizontal="center" vertical="center"/>
    </xf>
    <xf numFmtId="14" fontId="42" fillId="0" borderId="100" xfId="0" applyNumberFormat="1" applyFont="1" applyBorder="1" applyAlignment="1">
      <alignment horizontal="center" vertical="center" wrapText="1"/>
    </xf>
    <xf numFmtId="14" fontId="40" fillId="0" borderId="23" xfId="0" applyNumberFormat="1" applyFont="1" applyBorder="1" applyAlignment="1">
      <alignment horizontal="center" vertical="center"/>
    </xf>
    <xf numFmtId="0" fontId="37" fillId="17" borderId="90" xfId="0" applyFont="1" applyFill="1" applyBorder="1" applyAlignment="1">
      <alignment vertical="center"/>
    </xf>
    <xf numFmtId="0" fontId="43" fillId="17" borderId="101" xfId="0" applyFont="1" applyFill="1" applyBorder="1" applyAlignment="1">
      <alignment vertical="center"/>
    </xf>
    <xf numFmtId="164" fontId="44" fillId="17" borderId="102" xfId="0" applyNumberFormat="1" applyFont="1" applyFill="1" applyBorder="1" applyAlignment="1">
      <alignment horizontal="center" vertical="center" wrapText="1"/>
    </xf>
    <xf numFmtId="164" fontId="44" fillId="17" borderId="100" xfId="0" applyNumberFormat="1" applyFont="1" applyFill="1" applyBorder="1" applyAlignment="1">
      <alignment horizontal="center" vertical="center" wrapText="1"/>
    </xf>
    <xf numFmtId="164" fontId="43" fillId="17" borderId="73" xfId="0" applyNumberFormat="1" applyFont="1" applyFill="1" applyBorder="1" applyAlignment="1">
      <alignment horizontal="center" vertical="center" wrapText="1"/>
    </xf>
    <xf numFmtId="164" fontId="44" fillId="17" borderId="103" xfId="0" applyNumberFormat="1" applyFont="1" applyFill="1" applyBorder="1" applyAlignment="1">
      <alignment horizontal="center" vertical="center" wrapText="1"/>
    </xf>
    <xf numFmtId="164" fontId="43" fillId="17" borderId="90" xfId="0" applyNumberFormat="1" applyFont="1" applyFill="1" applyBorder="1" applyAlignment="1">
      <alignment horizontal="center" vertical="center" wrapText="1"/>
    </xf>
    <xf numFmtId="172" fontId="1" fillId="0" borderId="0" xfId="0" applyNumberFormat="1" applyFont="1" applyAlignment="1">
      <alignment vertical="center"/>
    </xf>
    <xf numFmtId="0" fontId="0" fillId="0" borderId="0" xfId="0" applyAlignment="1">
      <alignment horizontal="center" vertical="center"/>
    </xf>
    <xf numFmtId="0" fontId="1" fillId="0" borderId="0" xfId="0" applyFont="1" applyAlignment="1">
      <alignment vertical="center"/>
    </xf>
    <xf numFmtId="0" fontId="43" fillId="0" borderId="90" xfId="0" applyFont="1" applyFill="1" applyBorder="1" applyAlignment="1">
      <alignment vertical="center"/>
    </xf>
    <xf numFmtId="164" fontId="44" fillId="17" borderId="18" xfId="0" applyNumberFormat="1" applyFont="1" applyFill="1" applyBorder="1" applyAlignment="1">
      <alignment horizontal="center" vertical="center" wrapText="1"/>
    </xf>
    <xf numFmtId="164" fontId="14" fillId="17" borderId="19" xfId="0" applyNumberFormat="1" applyFont="1" applyFill="1" applyBorder="1" applyAlignment="1">
      <alignment horizontal="right" vertical="center" wrapText="1"/>
    </xf>
    <xf numFmtId="164" fontId="14" fillId="17" borderId="90" xfId="0" applyNumberFormat="1" applyFont="1" applyFill="1" applyBorder="1" applyAlignment="1">
      <alignment horizontal="right" vertical="center" wrapText="1"/>
    </xf>
    <xf numFmtId="172" fontId="1" fillId="0" borderId="0" xfId="0" applyNumberFormat="1" applyFont="1" applyFill="1" applyAlignment="1">
      <alignment vertical="center"/>
    </xf>
    <xf numFmtId="0" fontId="1" fillId="0" borderId="0" xfId="0" applyFont="1" applyFill="1" applyAlignment="1">
      <alignment vertical="center"/>
    </xf>
    <xf numFmtId="0" fontId="14" fillId="18" borderId="90" xfId="0" applyFont="1" applyFill="1" applyBorder="1" applyAlignment="1">
      <alignment vertical="center"/>
    </xf>
    <xf numFmtId="0" fontId="14" fillId="18" borderId="101" xfId="0" applyFont="1" applyFill="1" applyBorder="1" applyAlignment="1">
      <alignment vertical="center"/>
    </xf>
    <xf numFmtId="164" fontId="44" fillId="18" borderId="18" xfId="0" applyNumberFormat="1" applyFont="1" applyFill="1" applyBorder="1" applyAlignment="1">
      <alignment horizontal="right" vertical="center" wrapText="1"/>
    </xf>
    <xf numFmtId="164" fontId="44" fillId="18" borderId="103" xfId="0" applyNumberFormat="1" applyFont="1" applyFill="1" applyBorder="1" applyAlignment="1">
      <alignment horizontal="right" vertical="center" wrapText="1"/>
    </xf>
    <xf numFmtId="164" fontId="14" fillId="18" borderId="19" xfId="0" applyNumberFormat="1" applyFont="1" applyFill="1" applyBorder="1" applyAlignment="1">
      <alignment horizontal="right" vertical="center" wrapText="1"/>
    </xf>
    <xf numFmtId="164" fontId="14" fillId="18" borderId="90" xfId="0" applyNumberFormat="1" applyFont="1" applyFill="1" applyBorder="1" applyAlignment="1">
      <alignment horizontal="right" vertical="center" wrapText="1"/>
    </xf>
    <xf numFmtId="0" fontId="0" fillId="18" borderId="90" xfId="0" applyFill="1" applyBorder="1" applyAlignment="1">
      <alignment vertical="center"/>
    </xf>
    <xf numFmtId="0" fontId="0" fillId="18" borderId="101" xfId="0" applyFill="1" applyBorder="1" applyAlignment="1">
      <alignment vertical="center"/>
    </xf>
    <xf numFmtId="164" fontId="44" fillId="18" borderId="18" xfId="0" applyNumberFormat="1" applyFont="1" applyFill="1" applyBorder="1" applyAlignment="1">
      <alignment horizontal="right" vertical="center"/>
    </xf>
    <xf numFmtId="164" fontId="44" fillId="18" borderId="103" xfId="0" applyNumberFormat="1" applyFont="1" applyFill="1" applyBorder="1" applyAlignment="1">
      <alignment horizontal="right" vertical="center"/>
    </xf>
    <xf numFmtId="164" fontId="38" fillId="18" borderId="19" xfId="0" applyNumberFormat="1" applyFont="1" applyFill="1" applyBorder="1" applyAlignment="1">
      <alignment horizontal="right" vertical="center"/>
    </xf>
    <xf numFmtId="164" fontId="0" fillId="18" borderId="90" xfId="0" applyNumberFormat="1" applyFill="1" applyBorder="1" applyAlignment="1">
      <alignment vertical="center"/>
    </xf>
    <xf numFmtId="164" fontId="37" fillId="18" borderId="90" xfId="0" applyNumberFormat="1" applyFont="1" applyFill="1" applyBorder="1" applyAlignment="1">
      <alignment horizontal="right" vertical="center"/>
    </xf>
    <xf numFmtId="164" fontId="0" fillId="18" borderId="90" xfId="0" applyNumberFormat="1" applyFont="1" applyFill="1" applyBorder="1" applyAlignment="1">
      <alignment horizontal="right" vertical="center"/>
    </xf>
    <xf numFmtId="164" fontId="0" fillId="18" borderId="19" xfId="0" applyNumberFormat="1" applyFill="1" applyBorder="1" applyAlignment="1">
      <alignment horizontal="right" vertical="center"/>
    </xf>
    <xf numFmtId="0" fontId="1" fillId="17" borderId="90" xfId="0" applyFont="1" applyFill="1" applyBorder="1" applyAlignment="1">
      <alignment vertical="center"/>
    </xf>
    <xf numFmtId="0" fontId="1" fillId="17" borderId="101" xfId="0" applyFont="1" applyFill="1" applyBorder="1" applyAlignment="1">
      <alignment vertical="center"/>
    </xf>
    <xf numFmtId="164" fontId="44" fillId="17" borderId="18" xfId="0" applyNumberFormat="1" applyFont="1" applyFill="1" applyBorder="1" applyAlignment="1">
      <alignment horizontal="right" vertical="center"/>
    </xf>
    <xf numFmtId="164" fontId="44" fillId="17" borderId="103" xfId="0" applyNumberFormat="1" applyFont="1" applyFill="1" applyBorder="1" applyAlignment="1">
      <alignment horizontal="right" vertical="center"/>
    </xf>
    <xf numFmtId="164" fontId="0" fillId="17" borderId="19" xfId="0" applyNumberFormat="1" applyFill="1" applyBorder="1" applyAlignment="1">
      <alignment horizontal="right" vertical="center"/>
    </xf>
    <xf numFmtId="164" fontId="0" fillId="17" borderId="90" xfId="0" applyNumberFormat="1" applyFill="1" applyBorder="1" applyAlignment="1">
      <alignment vertical="center"/>
    </xf>
    <xf numFmtId="164" fontId="0" fillId="17" borderId="90" xfId="0" applyNumberFormat="1" applyFont="1" applyFill="1" applyBorder="1" applyAlignment="1">
      <alignment horizontal="right" vertical="center"/>
    </xf>
    <xf numFmtId="172" fontId="0" fillId="0" borderId="0" xfId="0" applyNumberFormat="1" applyFill="1" applyAlignment="1">
      <alignment vertical="center"/>
    </xf>
    <xf numFmtId="0" fontId="0" fillId="0" borderId="0" xfId="0" applyFill="1" applyAlignment="1">
      <alignment vertical="center"/>
    </xf>
    <xf numFmtId="164" fontId="14" fillId="18" borderId="19" xfId="0" applyNumberFormat="1" applyFont="1" applyFill="1" applyBorder="1" applyAlignment="1">
      <alignment horizontal="right" vertical="center"/>
    </xf>
    <xf numFmtId="164" fontId="14" fillId="18" borderId="90" xfId="0" applyNumberFormat="1" applyFont="1" applyFill="1" applyBorder="1" applyAlignment="1">
      <alignment vertical="center"/>
    </xf>
    <xf numFmtId="164" fontId="37" fillId="18" borderId="90" xfId="0" applyNumberFormat="1" applyFont="1" applyFill="1" applyBorder="1" applyAlignment="1">
      <alignment vertical="center"/>
    </xf>
    <xf numFmtId="164" fontId="14" fillId="18" borderId="90" xfId="0" applyNumberFormat="1" applyFont="1" applyFill="1" applyBorder="1" applyAlignment="1">
      <alignment horizontal="right" vertical="center"/>
    </xf>
    <xf numFmtId="164" fontId="43" fillId="18" borderId="19" xfId="0" applyNumberFormat="1" applyFont="1" applyFill="1" applyBorder="1" applyAlignment="1">
      <alignment horizontal="right" vertical="center"/>
    </xf>
    <xf numFmtId="0" fontId="1" fillId="18" borderId="90" xfId="0" applyFont="1" applyFill="1" applyBorder="1" applyAlignment="1">
      <alignment vertical="center"/>
    </xf>
    <xf numFmtId="0" fontId="1" fillId="18" borderId="101" xfId="0" applyFont="1" applyFill="1" applyBorder="1" applyAlignment="1">
      <alignment vertical="center"/>
    </xf>
    <xf numFmtId="0" fontId="43" fillId="18" borderId="90" xfId="0" applyFont="1" applyFill="1" applyBorder="1" applyAlignment="1">
      <alignment vertical="center"/>
    </xf>
    <xf numFmtId="0" fontId="43" fillId="18" borderId="101" xfId="0" applyFont="1" applyFill="1" applyBorder="1" applyAlignment="1">
      <alignment vertical="center"/>
    </xf>
    <xf numFmtId="0" fontId="0" fillId="17" borderId="101" xfId="0" applyFill="1" applyBorder="1" applyAlignment="1">
      <alignment vertical="center"/>
    </xf>
    <xf numFmtId="0" fontId="37" fillId="17" borderId="104" xfId="0" applyFont="1" applyFill="1" applyBorder="1" applyAlignment="1">
      <alignment vertical="center"/>
    </xf>
    <xf numFmtId="164" fontId="44" fillId="17" borderId="18" xfId="0" applyNumberFormat="1" applyFont="1" applyFill="1" applyBorder="1" applyAlignment="1">
      <alignment vertical="center"/>
    </xf>
    <xf numFmtId="164" fontId="44" fillId="17" borderId="103" xfId="0" applyNumberFormat="1" applyFont="1" applyFill="1" applyBorder="1" applyAlignment="1">
      <alignment vertical="center"/>
    </xf>
    <xf numFmtId="164" fontId="1" fillId="17" borderId="19" xfId="0" applyNumberFormat="1" applyFont="1" applyFill="1" applyBorder="1" applyAlignment="1">
      <alignment vertical="center"/>
    </xf>
    <xf numFmtId="164" fontId="1" fillId="17" borderId="103" xfId="0" applyNumberFormat="1" applyFont="1" applyFill="1" applyBorder="1" applyAlignment="1">
      <alignment vertical="center"/>
    </xf>
    <xf numFmtId="164" fontId="45" fillId="18" borderId="18" xfId="0" applyNumberFormat="1" applyFont="1" applyFill="1" applyBorder="1" applyAlignment="1">
      <alignment vertical="center"/>
    </xf>
    <xf numFmtId="164" fontId="45" fillId="18" borderId="103" xfId="0" applyNumberFormat="1" applyFont="1" applyFill="1" applyBorder="1" applyAlignment="1">
      <alignment vertical="center"/>
    </xf>
    <xf numFmtId="164" fontId="41" fillId="18" borderId="19" xfId="0" applyNumberFormat="1" applyFont="1" applyFill="1" applyBorder="1" applyAlignment="1">
      <alignment vertical="center"/>
    </xf>
    <xf numFmtId="164" fontId="46" fillId="18" borderId="90" xfId="0" applyNumberFormat="1" applyFont="1" applyFill="1" applyBorder="1" applyAlignment="1">
      <alignment vertical="center"/>
    </xf>
    <xf numFmtId="164" fontId="47" fillId="18" borderId="90" xfId="0" applyNumberFormat="1" applyFont="1" applyFill="1" applyBorder="1" applyAlignment="1">
      <alignment vertical="center"/>
    </xf>
    <xf numFmtId="164" fontId="44" fillId="18" borderId="18" xfId="0" applyNumberFormat="1" applyFont="1" applyFill="1" applyBorder="1" applyAlignment="1">
      <alignment vertical="center"/>
    </xf>
    <xf numFmtId="164" fontId="44" fillId="18" borderId="103" xfId="0" applyNumberFormat="1" applyFont="1" applyFill="1" applyBorder="1" applyAlignment="1">
      <alignment vertical="center"/>
    </xf>
    <xf numFmtId="164" fontId="14" fillId="18" borderId="19" xfId="0" applyNumberFormat="1" applyFont="1" applyFill="1" applyBorder="1" applyAlignment="1">
      <alignment vertical="center"/>
    </xf>
    <xf numFmtId="164" fontId="45" fillId="14" borderId="18" xfId="0" applyNumberFormat="1" applyFont="1" applyFill="1" applyBorder="1" applyAlignment="1">
      <alignment vertical="center"/>
    </xf>
    <xf numFmtId="164" fontId="45" fillId="14" borderId="103" xfId="0" applyNumberFormat="1" applyFont="1" applyFill="1" applyBorder="1" applyAlignment="1">
      <alignment vertical="center"/>
    </xf>
    <xf numFmtId="164" fontId="46" fillId="14" borderId="19" xfId="0" applyNumberFormat="1" applyFont="1" applyFill="1" applyBorder="1" applyAlignment="1">
      <alignment vertical="center"/>
    </xf>
    <xf numFmtId="0" fontId="0" fillId="17" borderId="101" xfId="0" applyFont="1" applyFill="1" applyBorder="1" applyAlignment="1">
      <alignment vertical="center"/>
    </xf>
    <xf numFmtId="164" fontId="23" fillId="17" borderId="90" xfId="0" applyNumberFormat="1" applyFont="1" applyFill="1" applyBorder="1" applyAlignment="1">
      <alignment vertical="center"/>
    </xf>
    <xf numFmtId="164" fontId="1" fillId="17" borderId="90" xfId="0" applyNumberFormat="1" applyFont="1" applyFill="1" applyBorder="1" applyAlignment="1">
      <alignment vertical="center"/>
    </xf>
    <xf numFmtId="164" fontId="40" fillId="17" borderId="90" xfId="0" applyNumberFormat="1" applyFont="1" applyFill="1" applyBorder="1" applyAlignment="1">
      <alignment vertical="center"/>
    </xf>
    <xf numFmtId="172" fontId="0" fillId="0" borderId="0" xfId="0" applyNumberFormat="1" applyFont="1" applyAlignment="1">
      <alignment vertical="center"/>
    </xf>
    <xf numFmtId="0" fontId="0" fillId="0" borderId="0" xfId="0" applyFont="1" applyAlignment="1">
      <alignment vertical="center"/>
    </xf>
    <xf numFmtId="0" fontId="0" fillId="18" borderId="104" xfId="0" applyFill="1" applyBorder="1" applyAlignment="1">
      <alignment vertical="center"/>
    </xf>
    <xf numFmtId="164" fontId="0" fillId="18" borderId="19" xfId="0" applyNumberFormat="1" applyFill="1" applyBorder="1" applyAlignment="1">
      <alignment vertical="center"/>
    </xf>
    <xf numFmtId="164" fontId="0" fillId="18" borderId="103" xfId="0" applyNumberFormat="1" applyFill="1" applyBorder="1" applyAlignment="1">
      <alignment vertical="center"/>
    </xf>
    <xf numFmtId="164" fontId="1" fillId="18" borderId="103" xfId="0" applyNumberFormat="1" applyFont="1" applyFill="1" applyBorder="1" applyAlignment="1">
      <alignment vertical="center"/>
    </xf>
    <xf numFmtId="164" fontId="44" fillId="17" borderId="102" xfId="0" applyNumberFormat="1" applyFont="1" applyFill="1" applyBorder="1" applyAlignment="1">
      <alignment vertical="center"/>
    </xf>
    <xf numFmtId="164" fontId="44" fillId="17" borderId="100" xfId="0" applyNumberFormat="1" applyFont="1" applyFill="1" applyBorder="1" applyAlignment="1">
      <alignment vertical="center"/>
    </xf>
    <xf numFmtId="164" fontId="1" fillId="17" borderId="105" xfId="0" applyNumberFormat="1" applyFont="1" applyFill="1" applyBorder="1" applyAlignment="1">
      <alignment vertical="center"/>
    </xf>
    <xf numFmtId="164" fontId="23" fillId="17" borderId="23" xfId="0" applyNumberFormat="1" applyFont="1" applyFill="1" applyBorder="1" applyAlignment="1">
      <alignment vertical="center"/>
    </xf>
    <xf numFmtId="164" fontId="1" fillId="17" borderId="23" xfId="0" applyNumberFormat="1" applyFont="1" applyFill="1" applyBorder="1" applyAlignment="1">
      <alignment vertical="center"/>
    </xf>
    <xf numFmtId="164" fontId="40" fillId="17" borderId="23" xfId="0" applyNumberFormat="1" applyFont="1" applyFill="1" applyBorder="1" applyAlignment="1">
      <alignment vertical="center"/>
    </xf>
    <xf numFmtId="0" fontId="37" fillId="5" borderId="101" xfId="0" applyFont="1" applyFill="1" applyBorder="1" applyAlignment="1">
      <alignment vertical="center"/>
    </xf>
    <xf numFmtId="0" fontId="37" fillId="5" borderId="104" xfId="0" applyFont="1" applyFill="1" applyBorder="1" applyAlignment="1">
      <alignment vertical="center"/>
    </xf>
    <xf numFmtId="0" fontId="0" fillId="5" borderId="104" xfId="0" applyFill="1" applyBorder="1" applyAlignment="1">
      <alignment vertical="center"/>
    </xf>
    <xf numFmtId="164" fontId="44" fillId="5" borderId="18" xfId="0" applyNumberFormat="1" applyFont="1" applyFill="1" applyBorder="1" applyAlignment="1">
      <alignment vertical="center"/>
    </xf>
    <xf numFmtId="164" fontId="44" fillId="5" borderId="103" xfId="0" applyNumberFormat="1" applyFont="1" applyFill="1" applyBorder="1" applyAlignment="1">
      <alignment vertical="center"/>
    </xf>
    <xf numFmtId="164" fontId="0" fillId="5" borderId="19" xfId="0" applyNumberFormat="1" applyFill="1" applyBorder="1" applyAlignment="1">
      <alignment vertical="center"/>
    </xf>
    <xf numFmtId="164" fontId="0" fillId="5" borderId="103" xfId="0" applyNumberFormat="1" applyFill="1" applyBorder="1" applyAlignment="1">
      <alignment vertical="center"/>
    </xf>
    <xf numFmtId="0" fontId="0" fillId="10" borderId="90" xfId="0" applyFill="1" applyBorder="1" applyAlignment="1">
      <alignment vertical="center"/>
    </xf>
    <xf numFmtId="0" fontId="0" fillId="10" borderId="101" xfId="0" applyFill="1" applyBorder="1" applyAlignment="1">
      <alignment vertical="center"/>
    </xf>
    <xf numFmtId="164" fontId="44" fillId="10" borderId="18" xfId="0" applyNumberFormat="1" applyFont="1" applyFill="1" applyBorder="1" applyAlignment="1">
      <alignment vertical="center"/>
    </xf>
    <xf numFmtId="164" fontId="44" fillId="10" borderId="103" xfId="0" applyNumberFormat="1" applyFont="1" applyFill="1" applyBorder="1" applyAlignment="1">
      <alignment vertical="center"/>
    </xf>
    <xf numFmtId="164" fontId="0" fillId="10" borderId="19" xfId="0" applyNumberFormat="1" applyFill="1" applyBorder="1" applyAlignment="1">
      <alignment vertical="center"/>
    </xf>
    <xf numFmtId="164" fontId="0" fillId="10" borderId="90" xfId="0" applyNumberFormat="1" applyFill="1" applyBorder="1" applyAlignment="1">
      <alignment vertical="center"/>
    </xf>
    <xf numFmtId="164" fontId="14" fillId="10" borderId="19" xfId="0" applyNumberFormat="1" applyFont="1" applyFill="1" applyBorder="1" applyAlignment="1">
      <alignment vertical="center"/>
    </xf>
    <xf numFmtId="164" fontId="14" fillId="10" borderId="90" xfId="0" applyNumberFormat="1" applyFont="1" applyFill="1" applyBorder="1" applyAlignment="1">
      <alignment vertical="center"/>
    </xf>
    <xf numFmtId="0" fontId="1" fillId="11" borderId="90" xfId="0" applyFont="1" applyFill="1" applyBorder="1" applyAlignment="1">
      <alignment vertical="center"/>
    </xf>
    <xf numFmtId="0" fontId="1" fillId="11" borderId="101" xfId="0" applyFont="1" applyFill="1" applyBorder="1" applyAlignment="1">
      <alignment vertical="center"/>
    </xf>
    <xf numFmtId="164" fontId="44" fillId="11" borderId="18" xfId="0" applyNumberFormat="1" applyFont="1" applyFill="1" applyBorder="1" applyAlignment="1">
      <alignment vertical="center"/>
    </xf>
    <xf numFmtId="164" fontId="44" fillId="11" borderId="103" xfId="0" applyNumberFormat="1" applyFont="1" applyFill="1" applyBorder="1" applyAlignment="1">
      <alignment vertical="center"/>
    </xf>
    <xf numFmtId="164" fontId="14" fillId="11" borderId="19" xfId="0" applyNumberFormat="1" applyFont="1" applyFill="1" applyBorder="1" applyAlignment="1">
      <alignment vertical="center"/>
    </xf>
    <xf numFmtId="164" fontId="0" fillId="11" borderId="90" xfId="0" applyNumberFormat="1" applyFill="1" applyBorder="1" applyAlignment="1">
      <alignment vertical="center"/>
    </xf>
    <xf numFmtId="164" fontId="14" fillId="11" borderId="90" xfId="0" applyNumberFormat="1" applyFont="1" applyFill="1" applyBorder="1" applyAlignment="1">
      <alignment vertical="center"/>
    </xf>
    <xf numFmtId="164" fontId="37" fillId="10" borderId="90" xfId="0" applyNumberFormat="1" applyFont="1" applyFill="1" applyBorder="1" applyAlignment="1">
      <alignment vertical="center"/>
    </xf>
    <xf numFmtId="164" fontId="43" fillId="11" borderId="19" xfId="0" applyNumberFormat="1" applyFont="1" applyFill="1" applyBorder="1" applyAlignment="1">
      <alignment vertical="center"/>
    </xf>
    <xf numFmtId="164" fontId="1" fillId="11" borderId="90" xfId="0" applyNumberFormat="1" applyFont="1" applyFill="1" applyBorder="1" applyAlignment="1">
      <alignment vertical="center"/>
    </xf>
    <xf numFmtId="164" fontId="43" fillId="11" borderId="90" xfId="0" applyNumberFormat="1" applyFont="1" applyFill="1" applyBorder="1" applyAlignment="1">
      <alignment vertical="center"/>
    </xf>
    <xf numFmtId="0" fontId="43" fillId="11" borderId="90" xfId="0" applyFont="1" applyFill="1" applyBorder="1" applyAlignment="1">
      <alignment vertical="center"/>
    </xf>
    <xf numFmtId="0" fontId="43" fillId="11" borderId="101" xfId="0" applyFont="1" applyFill="1" applyBorder="1" applyAlignment="1">
      <alignment vertical="center"/>
    </xf>
    <xf numFmtId="0" fontId="0" fillId="5" borderId="0" xfId="0" applyFill="1" applyAlignment="1">
      <alignment vertical="center"/>
    </xf>
    <xf numFmtId="0" fontId="37" fillId="5" borderId="0" xfId="0" applyFont="1" applyFill="1" applyAlignment="1">
      <alignment vertical="center"/>
    </xf>
    <xf numFmtId="164" fontId="1" fillId="5" borderId="19" xfId="0" applyNumberFormat="1" applyFont="1" applyFill="1" applyBorder="1" applyAlignment="1">
      <alignment vertical="center"/>
    </xf>
    <xf numFmtId="164" fontId="1" fillId="5" borderId="90" xfId="0" applyNumberFormat="1" applyFont="1" applyFill="1" applyBorder="1" applyAlignment="1">
      <alignment vertical="center"/>
    </xf>
    <xf numFmtId="164" fontId="1" fillId="11" borderId="19" xfId="0" applyNumberFormat="1" applyFont="1" applyFill="1" applyBorder="1" applyAlignment="1">
      <alignment vertical="center"/>
    </xf>
    <xf numFmtId="164" fontId="0" fillId="10" borderId="90" xfId="0" applyNumberFormat="1" applyFont="1" applyFill="1" applyBorder="1" applyAlignment="1">
      <alignment vertical="center"/>
    </xf>
    <xf numFmtId="172" fontId="0" fillId="0" borderId="0" xfId="0" applyNumberFormat="1" applyFont="1" applyFill="1" applyAlignment="1">
      <alignment vertical="center"/>
    </xf>
    <xf numFmtId="0" fontId="0" fillId="0" borderId="0" xfId="0" applyFont="1" applyFill="1" applyAlignment="1">
      <alignment vertical="center"/>
    </xf>
    <xf numFmtId="164" fontId="44" fillId="10" borderId="109" xfId="0" applyNumberFormat="1" applyFont="1" applyFill="1" applyBorder="1" applyAlignment="1">
      <alignment vertical="center"/>
    </xf>
    <xf numFmtId="173" fontId="50" fillId="10" borderId="111" xfId="10" applyNumberFormat="1" applyFont="1" applyFill="1" applyBorder="1"/>
    <xf numFmtId="0" fontId="49" fillId="10" borderId="112" xfId="9" applyFont="1" applyFill="1" applyBorder="1" applyAlignment="1">
      <alignment vertical="center"/>
    </xf>
    <xf numFmtId="164" fontId="44" fillId="10" borderId="113" xfId="0" applyNumberFormat="1" applyFont="1" applyFill="1" applyBorder="1" applyAlignment="1">
      <alignment vertical="center"/>
    </xf>
    <xf numFmtId="173" fontId="50" fillId="10" borderId="115" xfId="10" applyNumberFormat="1" applyFont="1" applyFill="1" applyBorder="1"/>
    <xf numFmtId="164" fontId="44" fillId="10" borderId="119" xfId="0" applyNumberFormat="1" applyFont="1" applyFill="1" applyBorder="1" applyAlignment="1">
      <alignment vertical="center"/>
    </xf>
    <xf numFmtId="173" fontId="50" fillId="10" borderId="121" xfId="10" applyNumberFormat="1" applyFont="1" applyFill="1" applyBorder="1"/>
    <xf numFmtId="173" fontId="50" fillId="10" borderId="90" xfId="10" applyNumberFormat="1" applyFont="1" applyFill="1" applyBorder="1"/>
    <xf numFmtId="173" fontId="51" fillId="10" borderId="90" xfId="10" applyNumberFormat="1" applyFont="1" applyFill="1" applyBorder="1"/>
    <xf numFmtId="164" fontId="0" fillId="11" borderId="19" xfId="0" applyNumberFormat="1" applyFill="1" applyBorder="1" applyAlignment="1">
      <alignment vertical="center"/>
    </xf>
    <xf numFmtId="164" fontId="0" fillId="11" borderId="90" xfId="0" applyNumberFormat="1" applyFont="1" applyFill="1" applyBorder="1" applyAlignment="1">
      <alignment vertical="center"/>
    </xf>
    <xf numFmtId="164" fontId="37" fillId="11" borderId="90" xfId="0" applyNumberFormat="1" applyFont="1" applyFill="1" applyBorder="1" applyAlignment="1">
      <alignment vertical="center"/>
    </xf>
    <xf numFmtId="164" fontId="38" fillId="11" borderId="90" xfId="0" applyNumberFormat="1" applyFont="1" applyFill="1" applyBorder="1" applyAlignment="1">
      <alignment vertical="center"/>
    </xf>
    <xf numFmtId="0" fontId="14" fillId="10" borderId="90" xfId="0" applyFont="1" applyFill="1" applyBorder="1" applyAlignment="1">
      <alignment vertical="center"/>
    </xf>
    <xf numFmtId="172" fontId="52" fillId="0" borderId="0" xfId="0" applyNumberFormat="1" applyFont="1" applyFill="1" applyAlignment="1">
      <alignment vertical="center"/>
    </xf>
    <xf numFmtId="0" fontId="52" fillId="0" borderId="0" xfId="0" applyFont="1" applyFill="1" applyAlignment="1">
      <alignment vertical="center"/>
    </xf>
    <xf numFmtId="0" fontId="1" fillId="10" borderId="90" xfId="0" applyFont="1" applyFill="1" applyBorder="1" applyAlignment="1">
      <alignment vertical="center"/>
    </xf>
    <xf numFmtId="164" fontId="0" fillId="10" borderId="103" xfId="0" applyNumberFormat="1" applyFill="1" applyBorder="1" applyAlignment="1">
      <alignment vertical="center"/>
    </xf>
    <xf numFmtId="0" fontId="0" fillId="5" borderId="101" xfId="0" applyFill="1" applyBorder="1" applyAlignment="1">
      <alignment vertical="center"/>
    </xf>
    <xf numFmtId="164" fontId="1" fillId="5" borderId="103" xfId="0" applyNumberFormat="1" applyFont="1" applyFill="1" applyBorder="1" applyAlignment="1">
      <alignment vertical="center"/>
    </xf>
    <xf numFmtId="172" fontId="14" fillId="0" borderId="0" xfId="0" applyNumberFormat="1" applyFont="1" applyFill="1" applyAlignment="1">
      <alignment vertical="center"/>
    </xf>
    <xf numFmtId="0" fontId="0" fillId="0" borderId="90" xfId="0" applyBorder="1" applyAlignment="1">
      <alignment vertical="center"/>
    </xf>
    <xf numFmtId="0" fontId="0" fillId="0" borderId="101" xfId="0" applyBorder="1" applyAlignment="1">
      <alignment vertical="center"/>
    </xf>
    <xf numFmtId="164" fontId="44" fillId="0" borderId="18" xfId="0" applyNumberFormat="1" applyFont="1" applyBorder="1" applyAlignment="1">
      <alignment vertical="center"/>
    </xf>
    <xf numFmtId="164" fontId="44" fillId="0" borderId="103" xfId="0" applyNumberFormat="1" applyFont="1" applyBorder="1" applyAlignment="1">
      <alignment vertical="center"/>
    </xf>
    <xf numFmtId="164" fontId="0" fillId="0" borderId="19" xfId="0" applyNumberFormat="1" applyBorder="1" applyAlignment="1">
      <alignment vertical="center"/>
    </xf>
    <xf numFmtId="164" fontId="0" fillId="0" borderId="90" xfId="0" applyNumberFormat="1" applyBorder="1" applyAlignment="1">
      <alignment vertical="center"/>
    </xf>
    <xf numFmtId="164" fontId="39" fillId="5" borderId="18" xfId="0" applyNumberFormat="1" applyFont="1" applyFill="1" applyBorder="1" applyAlignment="1">
      <alignment vertical="center"/>
    </xf>
    <xf numFmtId="164" fontId="39" fillId="5" borderId="103" xfId="0" applyNumberFormat="1" applyFont="1" applyFill="1" applyBorder="1" applyAlignment="1">
      <alignment vertical="center"/>
    </xf>
    <xf numFmtId="164" fontId="40" fillId="5" borderId="19" xfId="0" applyNumberFormat="1" applyFont="1" applyFill="1" applyBorder="1" applyAlignment="1">
      <alignment vertical="center"/>
    </xf>
    <xf numFmtId="164" fontId="23" fillId="5" borderId="103" xfId="0" applyNumberFormat="1" applyFont="1" applyFill="1" applyBorder="1" applyAlignment="1">
      <alignment vertical="center"/>
    </xf>
    <xf numFmtId="164" fontId="40" fillId="5" borderId="103" xfId="0" applyNumberFormat="1" applyFont="1" applyFill="1" applyBorder="1" applyAlignment="1">
      <alignment vertical="center"/>
    </xf>
    <xf numFmtId="0" fontId="37" fillId="18" borderId="104" xfId="0" applyFont="1" applyFill="1" applyBorder="1" applyAlignment="1">
      <alignment vertical="center"/>
    </xf>
    <xf numFmtId="164" fontId="39" fillId="18" borderId="18" xfId="0" applyNumberFormat="1" applyFont="1" applyFill="1" applyBorder="1" applyAlignment="1">
      <alignment vertical="center"/>
    </xf>
    <xf numFmtId="164" fontId="39" fillId="18" borderId="103" xfId="0" applyNumberFormat="1" applyFont="1" applyFill="1" applyBorder="1" applyAlignment="1">
      <alignment vertical="center"/>
    </xf>
    <xf numFmtId="164" fontId="40" fillId="18" borderId="19" xfId="0" applyNumberFormat="1" applyFont="1" applyFill="1" applyBorder="1" applyAlignment="1">
      <alignment vertical="center"/>
    </xf>
    <xf numFmtId="164" fontId="23" fillId="18" borderId="103" xfId="0" applyNumberFormat="1" applyFont="1" applyFill="1" applyBorder="1" applyAlignment="1">
      <alignment vertical="center"/>
    </xf>
    <xf numFmtId="164" fontId="40" fillId="18" borderId="103" xfId="0" applyNumberFormat="1" applyFont="1" applyFill="1" applyBorder="1" applyAlignment="1">
      <alignment vertical="center"/>
    </xf>
    <xf numFmtId="40" fontId="0" fillId="12" borderId="101" xfId="0" applyNumberFormat="1" applyFill="1" applyBorder="1" applyAlignment="1">
      <alignment vertical="center"/>
    </xf>
    <xf numFmtId="40" fontId="1" fillId="12" borderId="104" xfId="0" applyNumberFormat="1" applyFont="1" applyFill="1" applyBorder="1" applyAlignment="1">
      <alignment vertical="center"/>
    </xf>
    <xf numFmtId="40" fontId="44" fillId="12" borderId="18" xfId="0" applyNumberFormat="1" applyFont="1" applyFill="1" applyBorder="1" applyAlignment="1">
      <alignment vertical="center"/>
    </xf>
    <xf numFmtId="40" fontId="44" fillId="12" borderId="103" xfId="0" applyNumberFormat="1" applyFont="1" applyFill="1" applyBorder="1" applyAlignment="1">
      <alignment vertical="center"/>
    </xf>
    <xf numFmtId="40" fontId="43" fillId="12" borderId="19" xfId="0" applyNumberFormat="1" applyFont="1" applyFill="1" applyBorder="1" applyAlignment="1">
      <alignment vertical="center"/>
    </xf>
    <xf numFmtId="40" fontId="1" fillId="12" borderId="90" xfId="0" applyNumberFormat="1" applyFont="1" applyFill="1" applyBorder="1" applyAlignment="1">
      <alignment vertical="center"/>
    </xf>
    <xf numFmtId="40" fontId="43" fillId="12" borderId="90" xfId="0" applyNumberFormat="1" applyFont="1" applyFill="1" applyBorder="1" applyAlignment="1">
      <alignment vertical="center"/>
    </xf>
    <xf numFmtId="40" fontId="0" fillId="0" borderId="0" xfId="0" applyNumberFormat="1" applyAlignment="1">
      <alignment vertical="center"/>
    </xf>
    <xf numFmtId="164" fontId="44" fillId="0" borderId="24" xfId="0" applyNumberFormat="1" applyFont="1" applyBorder="1" applyAlignment="1">
      <alignment vertical="center"/>
    </xf>
    <xf numFmtId="164" fontId="44" fillId="0" borderId="0" xfId="0" applyNumberFormat="1" applyFont="1" applyBorder="1" applyAlignment="1">
      <alignment vertical="center"/>
    </xf>
    <xf numFmtId="164" fontId="0" fillId="0" borderId="25" xfId="0" applyNumberFormat="1" applyBorder="1" applyAlignment="1">
      <alignment vertical="center"/>
    </xf>
    <xf numFmtId="164" fontId="44"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horizontal="left" vertical="center"/>
    </xf>
    <xf numFmtId="0" fontId="44" fillId="0" borderId="24" xfId="0" applyFont="1" applyBorder="1" applyAlignment="1">
      <alignment horizontal="center" vertical="center"/>
    </xf>
    <xf numFmtId="0" fontId="44" fillId="0" borderId="0" xfId="0" applyFont="1" applyBorder="1" applyAlignment="1">
      <alignment horizontal="center" vertical="center"/>
    </xf>
    <xf numFmtId="0" fontId="0" fillId="0" borderId="25" xfId="0" applyFont="1" applyBorder="1" applyAlignment="1">
      <alignment vertical="center"/>
    </xf>
    <xf numFmtId="0" fontId="44" fillId="0" borderId="0" xfId="0" applyFont="1" applyAlignment="1">
      <alignment horizontal="center" vertical="center"/>
    </xf>
    <xf numFmtId="0" fontId="0" fillId="0" borderId="0" xfId="0" applyFont="1" applyAlignment="1">
      <alignment horizontal="left" vertical="center"/>
    </xf>
    <xf numFmtId="0" fontId="55" fillId="0" borderId="0" xfId="0" applyFont="1" applyAlignment="1">
      <alignment horizontal="right" vertical="center"/>
    </xf>
    <xf numFmtId="164" fontId="0" fillId="0" borderId="25" xfId="0" applyNumberFormat="1" applyFont="1" applyBorder="1" applyAlignment="1">
      <alignment vertical="center"/>
    </xf>
    <xf numFmtId="164" fontId="0" fillId="0" borderId="0" xfId="0" applyNumberFormat="1" applyFont="1" applyAlignment="1">
      <alignment vertical="center"/>
    </xf>
    <xf numFmtId="0" fontId="0" fillId="0" borderId="0" xfId="0" applyFont="1" applyAlignment="1">
      <alignment horizontal="center" vertical="center"/>
    </xf>
    <xf numFmtId="0" fontId="56" fillId="0" borderId="0" xfId="0" applyFont="1" applyAlignment="1">
      <alignment horizontal="right" vertical="center"/>
    </xf>
    <xf numFmtId="164" fontId="44" fillId="0" borderId="24" xfId="0" applyNumberFormat="1" applyFont="1" applyBorder="1" applyAlignment="1" applyProtection="1">
      <alignment vertical="center"/>
      <protection locked="0"/>
    </xf>
    <xf numFmtId="164" fontId="44" fillId="0" borderId="0" xfId="0" applyNumberFormat="1" applyFont="1" applyBorder="1" applyAlignment="1" applyProtection="1">
      <alignment vertical="center"/>
      <protection locked="0"/>
    </xf>
    <xf numFmtId="164" fontId="14" fillId="0" borderId="25" xfId="0" applyNumberFormat="1" applyFont="1" applyBorder="1" applyAlignment="1" applyProtection="1">
      <alignment vertical="center"/>
      <protection locked="0"/>
    </xf>
    <xf numFmtId="164" fontId="44" fillId="0" borderId="0" xfId="0" applyNumberFormat="1" applyFont="1" applyAlignment="1" applyProtection="1">
      <alignment vertical="center"/>
      <protection locked="0"/>
    </xf>
    <xf numFmtId="164" fontId="46" fillId="0" borderId="0" xfId="0" applyNumberFormat="1" applyFont="1" applyAlignment="1">
      <alignment vertical="center"/>
    </xf>
    <xf numFmtId="164" fontId="14" fillId="0" borderId="0" xfId="0" applyNumberFormat="1" applyFont="1" applyAlignment="1">
      <alignment vertical="center"/>
    </xf>
    <xf numFmtId="164" fontId="14" fillId="0" borderId="0" xfId="0" applyNumberFormat="1" applyFont="1" applyAlignment="1" applyProtection="1">
      <alignment vertical="center"/>
      <protection locked="0"/>
    </xf>
    <xf numFmtId="164" fontId="14" fillId="0" borderId="0" xfId="0" applyNumberFormat="1" applyFont="1" applyFill="1" applyAlignment="1">
      <alignment vertical="center"/>
    </xf>
    <xf numFmtId="0" fontId="57" fillId="0" borderId="0" xfId="0" applyFont="1" applyAlignment="1">
      <alignment horizontal="right" vertical="center"/>
    </xf>
    <xf numFmtId="164" fontId="58" fillId="0" borderId="0" xfId="0" applyNumberFormat="1" applyFont="1" applyAlignment="1" applyProtection="1">
      <alignment vertical="center"/>
      <protection locked="0"/>
    </xf>
    <xf numFmtId="164" fontId="58" fillId="0" borderId="24" xfId="0" applyNumberFormat="1" applyFont="1" applyBorder="1" applyAlignment="1">
      <alignment vertical="center"/>
    </xf>
    <xf numFmtId="164" fontId="58" fillId="0" borderId="0" xfId="0" applyNumberFormat="1" applyFont="1" applyBorder="1" applyAlignment="1">
      <alignment vertical="center"/>
    </xf>
    <xf numFmtId="164" fontId="43" fillId="0" borderId="25" xfId="0" applyNumberFormat="1" applyFont="1" applyBorder="1" applyAlignment="1">
      <alignment vertical="center"/>
    </xf>
    <xf numFmtId="164" fontId="58" fillId="0" borderId="0" xfId="0" applyNumberFormat="1" applyFont="1" applyAlignment="1">
      <alignment vertical="center"/>
    </xf>
    <xf numFmtId="164" fontId="59" fillId="0" borderId="0" xfId="0" applyNumberFormat="1" applyFont="1" applyAlignment="1">
      <alignment vertical="center"/>
    </xf>
    <xf numFmtId="164" fontId="43" fillId="0" borderId="0" xfId="0" applyNumberFormat="1" applyFont="1" applyAlignment="1">
      <alignment vertical="center"/>
    </xf>
    <xf numFmtId="164" fontId="58" fillId="0" borderId="24" xfId="0" applyNumberFormat="1" applyFont="1" applyBorder="1" applyAlignment="1" applyProtection="1">
      <alignment vertical="center"/>
      <protection locked="0"/>
    </xf>
    <xf numFmtId="164" fontId="58" fillId="0" borderId="0" xfId="0" applyNumberFormat="1" applyFont="1" applyBorder="1" applyAlignment="1" applyProtection="1">
      <alignment vertical="center"/>
      <protection locked="0"/>
    </xf>
    <xf numFmtId="0" fontId="14" fillId="0" borderId="0" xfId="0" applyFont="1" applyAlignment="1">
      <alignment vertical="center"/>
    </xf>
    <xf numFmtId="164" fontId="14" fillId="0" borderId="25" xfId="0" applyNumberFormat="1" applyFont="1" applyBorder="1" applyAlignment="1">
      <alignment vertical="center"/>
    </xf>
    <xf numFmtId="164" fontId="60" fillId="0" borderId="0" xfId="0" applyNumberFormat="1" applyFont="1" applyAlignment="1">
      <alignment vertical="center"/>
    </xf>
    <xf numFmtId="164" fontId="0" fillId="0" borderId="25" xfId="0" applyNumberFormat="1" applyFont="1" applyBorder="1" applyAlignment="1" applyProtection="1">
      <alignment vertical="center"/>
      <protection locked="0"/>
    </xf>
    <xf numFmtId="164" fontId="0" fillId="0" borderId="0" xfId="0" applyNumberFormat="1" applyAlignment="1" applyProtection="1">
      <alignment vertical="center"/>
      <protection locked="0"/>
    </xf>
    <xf numFmtId="164" fontId="0" fillId="0" borderId="0" xfId="0" applyNumberFormat="1" applyFont="1" applyAlignment="1" applyProtection="1">
      <alignment vertical="center"/>
      <protection locked="0"/>
    </xf>
    <xf numFmtId="0" fontId="58" fillId="0" borderId="24" xfId="0" applyFont="1" applyBorder="1" applyAlignment="1">
      <alignment vertical="center"/>
    </xf>
    <xf numFmtId="0" fontId="58" fillId="0" borderId="0" xfId="0" applyFont="1" applyBorder="1" applyAlignment="1">
      <alignment vertical="center"/>
    </xf>
    <xf numFmtId="0" fontId="58" fillId="0" borderId="0" xfId="0" applyFont="1" applyAlignment="1">
      <alignment vertical="center"/>
    </xf>
    <xf numFmtId="164" fontId="58" fillId="0" borderId="24" xfId="0" applyNumberFormat="1" applyFont="1" applyBorder="1" applyAlignment="1">
      <alignment horizontal="center" vertical="center"/>
    </xf>
    <xf numFmtId="164" fontId="58" fillId="0" borderId="0" xfId="0" applyNumberFormat="1" applyFont="1" applyBorder="1" applyAlignment="1">
      <alignment horizontal="center" vertical="center"/>
    </xf>
    <xf numFmtId="164" fontId="1" fillId="0" borderId="25" xfId="0" applyNumberFormat="1" applyFont="1" applyBorder="1" applyAlignment="1">
      <alignment vertical="center"/>
    </xf>
    <xf numFmtId="164" fontId="58" fillId="0" borderId="0" xfId="0" applyNumberFormat="1" applyFont="1" applyAlignment="1">
      <alignment horizontal="center" vertical="center"/>
    </xf>
    <xf numFmtId="164" fontId="1" fillId="0" borderId="0" xfId="0" applyNumberFormat="1" applyFont="1" applyAlignment="1">
      <alignment vertical="center"/>
    </xf>
    <xf numFmtId="0" fontId="61" fillId="0" borderId="0" xfId="0" applyFont="1" applyAlignment="1">
      <alignment horizontal="right" vertical="center" wrapText="1"/>
    </xf>
    <xf numFmtId="164" fontId="0" fillId="0" borderId="25" xfId="0" applyNumberFormat="1" applyBorder="1" applyAlignment="1" applyProtection="1">
      <alignment vertical="center"/>
      <protection locked="0"/>
    </xf>
    <xf numFmtId="164" fontId="1" fillId="0" borderId="0" xfId="0" applyNumberFormat="1" applyFont="1" applyAlignment="1" applyProtection="1">
      <alignment vertical="center"/>
      <protection locked="0"/>
    </xf>
    <xf numFmtId="0" fontId="24" fillId="0" borderId="0" xfId="0" quotePrefix="1" applyFont="1" applyAlignment="1">
      <alignment horizontal="right" vertical="center"/>
    </xf>
    <xf numFmtId="164" fontId="58" fillId="0" borderId="24" xfId="0" quotePrefix="1" applyNumberFormat="1" applyFont="1" applyBorder="1" applyAlignment="1">
      <alignment vertical="center"/>
    </xf>
    <xf numFmtId="164" fontId="58" fillId="0" borderId="0" xfId="0" quotePrefix="1" applyNumberFormat="1" applyFont="1" applyBorder="1" applyAlignment="1">
      <alignment vertical="center"/>
    </xf>
    <xf numFmtId="164" fontId="58" fillId="0" borderId="0" xfId="0" quotePrefix="1" applyNumberFormat="1" applyFont="1" applyAlignment="1">
      <alignment vertical="center"/>
    </xf>
    <xf numFmtId="0" fontId="56" fillId="0" borderId="0" xfId="0" applyFont="1" applyAlignment="1">
      <alignment horizontal="right" vertical="center" wrapText="1"/>
    </xf>
    <xf numFmtId="164" fontId="62" fillId="0" borderId="0" xfId="0" applyNumberFormat="1" applyFont="1" applyAlignment="1">
      <alignment vertical="center"/>
    </xf>
    <xf numFmtId="49" fontId="23" fillId="0" borderId="0" xfId="0" applyNumberFormat="1" applyFont="1" applyAlignment="1">
      <alignment horizontal="right" vertical="center"/>
    </xf>
    <xf numFmtId="164" fontId="63" fillId="0" borderId="24" xfId="0" applyNumberFormat="1" applyFont="1" applyBorder="1" applyAlignment="1">
      <alignment vertical="center"/>
    </xf>
    <xf numFmtId="164" fontId="63" fillId="0" borderId="0" xfId="0" applyNumberFormat="1" applyFont="1" applyBorder="1" applyAlignment="1">
      <alignment vertical="center"/>
    </xf>
    <xf numFmtId="0" fontId="0" fillId="0" borderId="25" xfId="0" applyBorder="1" applyAlignment="1">
      <alignment vertical="center"/>
    </xf>
    <xf numFmtId="164" fontId="63" fillId="0" borderId="0" xfId="0" applyNumberFormat="1" applyFont="1" applyAlignment="1">
      <alignment vertical="center"/>
    </xf>
    <xf numFmtId="0" fontId="24" fillId="0" borderId="0" xfId="0" applyFont="1" applyAlignment="1">
      <alignment vertical="center"/>
    </xf>
    <xf numFmtId="0" fontId="44" fillId="0" borderId="24" xfId="0" applyFont="1" applyBorder="1" applyAlignment="1">
      <alignment vertical="center"/>
    </xf>
    <xf numFmtId="0" fontId="44" fillId="0" borderId="0" xfId="0" applyFont="1" applyBorder="1" applyAlignment="1">
      <alignment vertical="center"/>
    </xf>
    <xf numFmtId="0" fontId="44" fillId="0" borderId="0" xfId="0" applyFont="1" applyAlignment="1">
      <alignment vertical="center"/>
    </xf>
    <xf numFmtId="0" fontId="23" fillId="0" borderId="0" xfId="0" applyFont="1" applyAlignment="1">
      <alignment horizontal="right" vertical="center"/>
    </xf>
    <xf numFmtId="164" fontId="64" fillId="0" borderId="24" xfId="0" applyNumberFormat="1" applyFont="1" applyBorder="1" applyAlignment="1">
      <alignment vertical="center"/>
    </xf>
    <xf numFmtId="164" fontId="64" fillId="0" borderId="0" xfId="0" applyNumberFormat="1" applyFont="1" applyBorder="1" applyAlignment="1">
      <alignment vertical="center"/>
    </xf>
    <xf numFmtId="164" fontId="64" fillId="0" borderId="0" xfId="0" applyNumberFormat="1" applyFont="1" applyAlignment="1">
      <alignment vertical="center"/>
    </xf>
    <xf numFmtId="164" fontId="44" fillId="0" borderId="103" xfId="0" applyNumberFormat="1" applyFont="1" applyFill="1" applyBorder="1" applyAlignment="1">
      <alignment vertical="center"/>
    </xf>
    <xf numFmtId="0" fontId="0" fillId="0" borderId="90" xfId="0" applyFill="1" applyBorder="1" applyAlignment="1">
      <alignment vertical="center"/>
    </xf>
    <xf numFmtId="0" fontId="0" fillId="0" borderId="101" xfId="0" applyFill="1" applyBorder="1" applyAlignment="1">
      <alignment vertical="center"/>
    </xf>
    <xf numFmtId="164" fontId="44" fillId="0" borderId="18" xfId="0" applyNumberFormat="1" applyFont="1" applyFill="1" applyBorder="1" applyAlignment="1">
      <alignment vertical="center"/>
    </xf>
    <xf numFmtId="164" fontId="14" fillId="0" borderId="19" xfId="0" applyNumberFormat="1" applyFont="1" applyFill="1" applyBorder="1" applyAlignment="1">
      <alignment vertical="center"/>
    </xf>
    <xf numFmtId="164" fontId="0" fillId="0" borderId="0" xfId="0" applyNumberFormat="1" applyAlignment="1">
      <alignment horizontal="center" vertical="center"/>
    </xf>
    <xf numFmtId="0" fontId="0" fillId="0" borderId="91" xfId="0" applyFont="1" applyFill="1" applyBorder="1"/>
    <xf numFmtId="0" fontId="0" fillId="0" borderId="90" xfId="0" applyFont="1" applyFill="1" applyBorder="1" applyAlignment="1">
      <alignment vertical="center"/>
    </xf>
    <xf numFmtId="0" fontId="0" fillId="0" borderId="101" xfId="0" applyFont="1" applyFill="1" applyBorder="1" applyAlignment="1">
      <alignment vertical="center"/>
    </xf>
    <xf numFmtId="164" fontId="38" fillId="0" borderId="19" xfId="0" applyNumberFormat="1" applyFont="1" applyFill="1" applyBorder="1" applyAlignment="1">
      <alignment vertical="center"/>
    </xf>
    <xf numFmtId="164" fontId="0" fillId="0" borderId="19" xfId="0" applyNumberFormat="1" applyFill="1" applyBorder="1" applyAlignment="1">
      <alignment vertical="center"/>
    </xf>
    <xf numFmtId="172" fontId="1" fillId="0" borderId="0" xfId="0" applyNumberFormat="1" applyFont="1" applyFill="1" applyAlignment="1">
      <alignment horizontal="left" vertical="center"/>
    </xf>
    <xf numFmtId="164" fontId="1" fillId="0" borderId="0" xfId="0" applyNumberFormat="1" applyFont="1" applyFill="1" applyAlignment="1">
      <alignment vertical="center"/>
    </xf>
    <xf numFmtId="164" fontId="44" fillId="0" borderId="114" xfId="0" applyNumberFormat="1" applyFont="1" applyFill="1" applyBorder="1" applyAlignment="1">
      <alignment vertical="center"/>
    </xf>
    <xf numFmtId="0" fontId="49" fillId="0" borderId="112" xfId="9" applyFont="1" applyFill="1" applyBorder="1" applyAlignment="1">
      <alignment vertical="center"/>
    </xf>
    <xf numFmtId="0" fontId="49" fillId="0" borderId="89" xfId="9" applyFont="1" applyFill="1" applyBorder="1" applyAlignment="1">
      <alignment vertical="center"/>
    </xf>
    <xf numFmtId="0" fontId="49" fillId="0" borderId="90" xfId="9" applyFont="1" applyFill="1" applyBorder="1" applyAlignment="1">
      <alignment vertical="center"/>
    </xf>
    <xf numFmtId="0" fontId="49" fillId="0" borderId="101" xfId="9" applyFont="1" applyFill="1" applyBorder="1" applyAlignment="1">
      <alignment vertical="center"/>
    </xf>
    <xf numFmtId="0" fontId="49" fillId="0" borderId="113" xfId="9" applyFont="1" applyFill="1" applyBorder="1" applyAlignment="1">
      <alignment vertical="center"/>
    </xf>
    <xf numFmtId="0" fontId="0" fillId="0" borderId="0" xfId="0" applyFill="1" applyAlignment="1">
      <alignment horizontal="center" vertical="center"/>
    </xf>
    <xf numFmtId="0" fontId="49" fillId="0" borderId="106" xfId="9" applyFont="1" applyFill="1" applyBorder="1" applyAlignment="1">
      <alignment vertical="center"/>
    </xf>
    <xf numFmtId="0" fontId="49" fillId="0" borderId="107" xfId="9" applyFont="1" applyFill="1" applyBorder="1" applyAlignment="1">
      <alignment vertical="center"/>
    </xf>
    <xf numFmtId="164" fontId="44" fillId="0" borderId="108" xfId="0" applyNumberFormat="1" applyFont="1" applyFill="1" applyBorder="1" applyAlignment="1">
      <alignment vertical="center"/>
    </xf>
    <xf numFmtId="164" fontId="44" fillId="0" borderId="109" xfId="0" applyNumberFormat="1" applyFont="1" applyFill="1" applyBorder="1" applyAlignment="1">
      <alignment vertical="center"/>
    </xf>
    <xf numFmtId="164" fontId="44" fillId="0" borderId="110" xfId="0" applyNumberFormat="1" applyFont="1" applyFill="1" applyBorder="1" applyAlignment="1">
      <alignment vertical="center"/>
    </xf>
    <xf numFmtId="164" fontId="44" fillId="0" borderId="88" xfId="0" applyNumberFormat="1" applyFont="1" applyFill="1" applyBorder="1" applyAlignment="1">
      <alignment vertical="center"/>
    </xf>
    <xf numFmtId="164" fontId="44" fillId="0" borderId="113" xfId="0" applyNumberFormat="1" applyFont="1" applyFill="1" applyBorder="1" applyAlignment="1">
      <alignment vertical="center"/>
    </xf>
    <xf numFmtId="0" fontId="49" fillId="0" borderId="116" xfId="9" applyFont="1" applyFill="1" applyBorder="1" applyAlignment="1">
      <alignment vertical="center"/>
    </xf>
    <xf numFmtId="0" fontId="49" fillId="0" borderId="117" xfId="9" applyFont="1" applyFill="1" applyBorder="1" applyAlignment="1">
      <alignment vertical="center"/>
    </xf>
    <xf numFmtId="164" fontId="44" fillId="0" borderId="118" xfId="0" applyNumberFormat="1" applyFont="1" applyFill="1" applyBorder="1" applyAlignment="1">
      <alignment vertical="center"/>
    </xf>
    <xf numFmtId="164" fontId="44" fillId="0" borderId="119" xfId="0" applyNumberFormat="1" applyFont="1" applyFill="1" applyBorder="1" applyAlignment="1">
      <alignment vertical="center"/>
    </xf>
    <xf numFmtId="164" fontId="44" fillId="0" borderId="120" xfId="0" applyNumberFormat="1" applyFont="1" applyFill="1" applyBorder="1" applyAlignment="1">
      <alignment vertical="center"/>
    </xf>
    <xf numFmtId="0" fontId="43" fillId="0" borderId="101" xfId="0" applyFont="1" applyFill="1" applyBorder="1" applyAlignment="1">
      <alignment vertical="center"/>
    </xf>
    <xf numFmtId="0" fontId="14" fillId="0" borderId="101" xfId="0" applyFont="1" applyFill="1" applyBorder="1" applyAlignment="1">
      <alignment vertical="center"/>
    </xf>
    <xf numFmtId="0" fontId="1" fillId="0" borderId="90" xfId="0" applyFont="1" applyFill="1" applyBorder="1" applyAlignment="1">
      <alignment vertical="center"/>
    </xf>
    <xf numFmtId="0" fontId="1" fillId="0" borderId="101" xfId="0" applyFont="1" applyFill="1" applyBorder="1" applyAlignment="1">
      <alignment vertical="center"/>
    </xf>
    <xf numFmtId="164" fontId="1" fillId="0" borderId="19" xfId="0" applyNumberFormat="1" applyFont="1" applyFill="1" applyBorder="1" applyAlignment="1">
      <alignment vertical="center"/>
    </xf>
    <xf numFmtId="164" fontId="43" fillId="0" borderId="19" xfId="0" applyNumberFormat="1" applyFont="1" applyFill="1" applyBorder="1" applyAlignment="1">
      <alignment vertical="center"/>
    </xf>
    <xf numFmtId="0" fontId="0" fillId="0" borderId="90" xfId="0" quotePrefix="1" applyFill="1" applyBorder="1" applyAlignment="1">
      <alignment vertical="center"/>
    </xf>
    <xf numFmtId="0" fontId="14" fillId="0" borderId="90" xfId="0" quotePrefix="1" applyFont="1" applyFill="1" applyBorder="1" applyAlignment="1">
      <alignment vertical="center"/>
    </xf>
    <xf numFmtId="0" fontId="53" fillId="0" borderId="113" xfId="9" applyFont="1" applyFill="1" applyBorder="1" applyAlignment="1">
      <alignment vertical="center"/>
    </xf>
    <xf numFmtId="0" fontId="53" fillId="0" borderId="89" xfId="9" applyFont="1" applyFill="1" applyBorder="1" applyAlignment="1">
      <alignment vertical="center"/>
    </xf>
    <xf numFmtId="0" fontId="54" fillId="0" borderId="101" xfId="0" applyFont="1" applyFill="1" applyBorder="1" applyAlignment="1">
      <alignment vertical="center"/>
    </xf>
    <xf numFmtId="164" fontId="43" fillId="0" borderId="0" xfId="0" applyNumberFormat="1" applyFont="1"/>
    <xf numFmtId="0" fontId="0" fillId="0" borderId="27" xfId="0" applyBorder="1"/>
    <xf numFmtId="0" fontId="0" fillId="0" borderId="87" xfId="0" applyBorder="1"/>
    <xf numFmtId="0" fontId="0" fillId="0" borderId="48" xfId="0" applyBorder="1"/>
    <xf numFmtId="0" fontId="65" fillId="0" borderId="5" xfId="0" applyFont="1" applyBorder="1" applyProtection="1">
      <protection locked="0"/>
    </xf>
    <xf numFmtId="0" fontId="65" fillId="0" borderId="1" xfId="0" applyFont="1" applyBorder="1" applyProtection="1">
      <protection locked="0"/>
    </xf>
    <xf numFmtId="0" fontId="65" fillId="0" borderId="5" xfId="0" applyFont="1" applyBorder="1" applyAlignment="1" applyProtection="1">
      <alignment wrapText="1"/>
      <protection locked="0"/>
    </xf>
    <xf numFmtId="0" fontId="0" fillId="0" borderId="0" xfId="0" applyFont="1" applyAlignment="1" applyProtection="1">
      <alignment wrapText="1"/>
      <protection locked="0"/>
    </xf>
    <xf numFmtId="0" fontId="14" fillId="0" borderId="0" xfId="0" applyFont="1" applyAlignment="1" applyProtection="1">
      <alignment wrapText="1"/>
      <protection locked="0"/>
    </xf>
    <xf numFmtId="164" fontId="0" fillId="0" borderId="14" xfId="0" applyNumberFormat="1" applyFill="1" applyBorder="1" applyProtection="1">
      <protection locked="0"/>
    </xf>
    <xf numFmtId="164" fontId="0" fillId="0" borderId="14" xfId="0" applyNumberFormat="1" applyFill="1" applyBorder="1"/>
    <xf numFmtId="164" fontId="28" fillId="0" borderId="16" xfId="1" applyNumberFormat="1" applyFont="1" applyFill="1" applyBorder="1" applyAlignment="1">
      <alignment horizontal="right" vertical="top"/>
    </xf>
    <xf numFmtId="0" fontId="6" fillId="0" borderId="0" xfId="0" applyFont="1" applyFill="1" applyAlignment="1">
      <alignment horizontal="left" vertical="top"/>
    </xf>
    <xf numFmtId="0" fontId="6" fillId="0" borderId="15" xfId="0" applyFont="1" applyFill="1" applyBorder="1" applyAlignment="1">
      <alignment horizontal="left" vertical="top"/>
    </xf>
    <xf numFmtId="0" fontId="23" fillId="6" borderId="129" xfId="0" applyFont="1" applyFill="1" applyBorder="1"/>
    <xf numFmtId="164" fontId="24" fillId="9" borderId="0" xfId="0" applyNumberFormat="1" applyFont="1" applyFill="1" applyBorder="1"/>
    <xf numFmtId="0" fontId="6" fillId="0" borderId="4" xfId="0" applyFont="1" applyFill="1" applyBorder="1" applyAlignment="1" applyProtection="1">
      <alignment horizontal="left" vertical="top"/>
      <protection locked="0"/>
    </xf>
    <xf numFmtId="164" fontId="8" fillId="0" borderId="16" xfId="1" applyNumberFormat="1" applyFill="1" applyBorder="1" applyAlignment="1">
      <alignment horizontal="right" vertical="top"/>
    </xf>
    <xf numFmtId="0" fontId="6" fillId="4" borderId="130" xfId="0" applyFont="1" applyFill="1" applyBorder="1" applyAlignment="1" applyProtection="1">
      <alignment horizontal="left" vertical="top"/>
      <protection locked="0"/>
    </xf>
    <xf numFmtId="0" fontId="24" fillId="0" borderId="0" xfId="0" applyFont="1" applyAlignment="1">
      <alignment vertical="top" wrapText="1"/>
    </xf>
    <xf numFmtId="0" fontId="66" fillId="0" borderId="0" xfId="0" applyFont="1" applyAlignment="1">
      <alignment vertical="top" wrapText="1"/>
    </xf>
    <xf numFmtId="0" fontId="0" fillId="0" borderId="0" xfId="0" applyFont="1" applyAlignment="1" applyProtection="1">
      <alignment vertical="top" wrapText="1"/>
      <protection locked="0"/>
    </xf>
    <xf numFmtId="164" fontId="6" fillId="0" borderId="14" xfId="0" applyNumberFormat="1" applyFont="1" applyFill="1" applyBorder="1" applyAlignment="1" applyProtection="1">
      <alignment horizontal="right" vertical="top"/>
      <protection locked="0"/>
    </xf>
    <xf numFmtId="0" fontId="24" fillId="0" borderId="130" xfId="0" applyFont="1" applyBorder="1" applyAlignment="1">
      <alignment vertical="top" wrapText="1"/>
    </xf>
    <xf numFmtId="0" fontId="24" fillId="0" borderId="87" xfId="0" applyFont="1" applyBorder="1" applyAlignment="1">
      <alignment horizontal="center" wrapText="1"/>
    </xf>
    <xf numFmtId="0" fontId="24" fillId="0" borderId="48" xfId="0" applyFont="1" applyBorder="1" applyAlignment="1">
      <alignment horizontal="center" wrapText="1"/>
    </xf>
    <xf numFmtId="0" fontId="24" fillId="0" borderId="49" xfId="0" applyFont="1" applyBorder="1" applyAlignment="1">
      <alignment horizontal="center" wrapText="1"/>
    </xf>
    <xf numFmtId="164" fontId="24" fillId="6" borderId="130" xfId="0" applyNumberFormat="1" applyFont="1" applyFill="1" applyBorder="1"/>
    <xf numFmtId="0" fontId="24" fillId="0" borderId="130" xfId="0" applyFont="1" applyBorder="1" applyAlignment="1">
      <alignment horizontal="center" vertical="top" wrapText="1"/>
    </xf>
    <xf numFmtId="0" fontId="0" fillId="6" borderId="130" xfId="0" applyFill="1" applyBorder="1"/>
    <xf numFmtId="8" fontId="29" fillId="0" borderId="130" xfId="0" applyNumberFormat="1" applyFont="1" applyBorder="1" applyAlignment="1">
      <alignment horizontal="right" vertical="top"/>
    </xf>
    <xf numFmtId="8" fontId="17" fillId="0" borderId="130" xfId="0" applyNumberFormat="1" applyFont="1" applyBorder="1" applyAlignment="1">
      <alignment horizontal="right" vertical="top"/>
    </xf>
    <xf numFmtId="0" fontId="23" fillId="6" borderId="130" xfId="0" applyFont="1" applyFill="1" applyBorder="1"/>
    <xf numFmtId="0" fontId="24" fillId="0" borderId="130" xfId="0" applyFont="1" applyBorder="1" applyAlignment="1">
      <alignment horizontal="center" wrapText="1"/>
    </xf>
    <xf numFmtId="164" fontId="23" fillId="6" borderId="130" xfId="0" applyNumberFormat="1" applyFont="1" applyFill="1" applyBorder="1"/>
    <xf numFmtId="164" fontId="25" fillId="6" borderId="130" xfId="0" applyNumberFormat="1" applyFont="1" applyFill="1" applyBorder="1"/>
    <xf numFmtId="0" fontId="0" fillId="0" borderId="0" xfId="0" applyAlignment="1" applyProtection="1">
      <alignment horizontal="left" wrapText="1"/>
      <protection locked="0"/>
    </xf>
    <xf numFmtId="164" fontId="24" fillId="9" borderId="0" xfId="0" applyNumberFormat="1" applyFont="1" applyFill="1" applyBorder="1" applyProtection="1">
      <protection locked="0"/>
    </xf>
    <xf numFmtId="0" fontId="68" fillId="0" borderId="87" xfId="0" applyFont="1" applyBorder="1"/>
    <xf numFmtId="17" fontId="68" fillId="0" borderId="49" xfId="0" applyNumberFormat="1" applyFont="1" applyBorder="1"/>
    <xf numFmtId="17" fontId="68" fillId="0" borderId="82" xfId="0" applyNumberFormat="1" applyFont="1" applyBorder="1"/>
    <xf numFmtId="17" fontId="68" fillId="0" borderId="131" xfId="0" applyNumberFormat="1" applyFont="1" applyBorder="1" applyAlignment="1">
      <alignment horizontal="right"/>
    </xf>
    <xf numFmtId="0" fontId="68" fillId="0" borderId="30" xfId="0" applyFont="1" applyBorder="1"/>
    <xf numFmtId="0" fontId="0" fillId="0" borderId="128" xfId="0" applyBorder="1"/>
    <xf numFmtId="0" fontId="0" fillId="0" borderId="126" xfId="0" applyBorder="1"/>
    <xf numFmtId="0" fontId="69" fillId="0" borderId="126" xfId="0" applyFont="1" applyBorder="1"/>
    <xf numFmtId="164" fontId="0" fillId="0" borderId="127" xfId="0" applyNumberFormat="1" applyBorder="1"/>
    <xf numFmtId="164" fontId="0" fillId="0" borderId="33" xfId="0" applyNumberFormat="1" applyBorder="1"/>
    <xf numFmtId="164" fontId="0" fillId="0" borderId="132" xfId="0" applyNumberFormat="1" applyBorder="1"/>
    <xf numFmtId="164" fontId="0" fillId="0" borderId="82" xfId="0" applyNumberFormat="1" applyBorder="1"/>
    <xf numFmtId="164" fontId="0" fillId="0" borderId="122" xfId="0" applyNumberFormat="1" applyBorder="1"/>
    <xf numFmtId="164" fontId="0" fillId="0" borderId="133" xfId="0" applyNumberFormat="1" applyBorder="1"/>
    <xf numFmtId="0" fontId="70" fillId="0" borderId="128" xfId="0" applyFont="1" applyBorder="1"/>
    <xf numFmtId="0" fontId="70" fillId="0" borderId="126" xfId="0" applyFont="1" applyBorder="1"/>
    <xf numFmtId="0" fontId="0" fillId="0" borderId="134" xfId="0" applyBorder="1"/>
    <xf numFmtId="0" fontId="0" fillId="0" borderId="124" xfId="0" applyBorder="1"/>
    <xf numFmtId="164" fontId="68" fillId="0" borderId="125" xfId="0" applyNumberFormat="1" applyFont="1" applyBorder="1"/>
    <xf numFmtId="164" fontId="68" fillId="0" borderId="123" xfId="0" applyNumberFormat="1" applyFont="1" applyBorder="1"/>
    <xf numFmtId="164" fontId="68" fillId="0" borderId="135" xfId="0" applyNumberFormat="1" applyFont="1" applyBorder="1"/>
    <xf numFmtId="0" fontId="0" fillId="0" borderId="52" xfId="0" applyBorder="1"/>
    <xf numFmtId="0" fontId="0" fillId="0" borderId="86" xfId="0" applyBorder="1"/>
    <xf numFmtId="164" fontId="68" fillId="0" borderId="30" xfId="0" applyNumberFormat="1" applyFont="1" applyBorder="1"/>
    <xf numFmtId="164" fontId="68" fillId="0" borderId="0" xfId="0" applyNumberFormat="1" applyFont="1"/>
    <xf numFmtId="0" fontId="68" fillId="0" borderId="49" xfId="0" applyFont="1" applyBorder="1"/>
    <xf numFmtId="0" fontId="71" fillId="0" borderId="0" xfId="0" applyFont="1"/>
    <xf numFmtId="0" fontId="68" fillId="0" borderId="0" xfId="0" applyFont="1"/>
    <xf numFmtId="164" fontId="71" fillId="0" borderId="0" xfId="0" applyNumberFormat="1" applyFont="1"/>
    <xf numFmtId="0" fontId="0" fillId="0" borderId="94" xfId="0" applyBorder="1"/>
    <xf numFmtId="164" fontId="68" fillId="0" borderId="81" xfId="0" applyNumberFormat="1" applyFont="1" applyBorder="1"/>
    <xf numFmtId="0" fontId="68" fillId="0" borderId="26" xfId="0" applyFont="1" applyBorder="1"/>
    <xf numFmtId="0" fontId="0" fillId="0" borderId="99" xfId="0" applyBorder="1"/>
    <xf numFmtId="164" fontId="68" fillId="0" borderId="42" xfId="0" applyNumberFormat="1" applyFont="1" applyBorder="1"/>
    <xf numFmtId="164" fontId="1" fillId="0" borderId="136" xfId="0" applyNumberFormat="1" applyFont="1" applyBorder="1"/>
    <xf numFmtId="0" fontId="1" fillId="0" borderId="72" xfId="0" applyFont="1" applyBorder="1"/>
    <xf numFmtId="166" fontId="0" fillId="0" borderId="0" xfId="0" applyNumberFormat="1" applyAlignment="1">
      <alignment vertical="top" wrapText="1"/>
    </xf>
    <xf numFmtId="0" fontId="0" fillId="0" borderId="0" xfId="0" applyAlignment="1" applyProtection="1">
      <alignment vertical="top" wrapText="1"/>
      <protection locked="0"/>
    </xf>
    <xf numFmtId="164" fontId="0" fillId="0" borderId="138" xfId="0" applyNumberFormat="1" applyBorder="1" applyProtection="1">
      <protection locked="0"/>
    </xf>
    <xf numFmtId="164" fontId="72" fillId="0" borderId="139" xfId="0" applyNumberFormat="1" applyFont="1" applyBorder="1" applyProtection="1">
      <protection locked="0"/>
    </xf>
    <xf numFmtId="164" fontId="0" fillId="0" borderId="0" xfId="0" applyNumberFormat="1" applyBorder="1" applyProtection="1">
      <protection locked="0"/>
    </xf>
    <xf numFmtId="164" fontId="72" fillId="0" borderId="137" xfId="0" applyNumberFormat="1" applyFont="1" applyBorder="1" applyProtection="1">
      <protection locked="0"/>
    </xf>
    <xf numFmtId="164" fontId="24" fillId="0" borderId="0" xfId="0" applyNumberFormat="1" applyFont="1" applyBorder="1" applyProtection="1">
      <protection locked="0"/>
    </xf>
    <xf numFmtId="164" fontId="0" fillId="0" borderId="24" xfId="0" applyNumberFormat="1" applyFill="1" applyBorder="1" applyProtection="1">
      <protection locked="0"/>
    </xf>
    <xf numFmtId="164" fontId="24" fillId="0" borderId="24" xfId="0" applyNumberFormat="1" applyFont="1" applyBorder="1" applyAlignment="1">
      <alignment horizontal="right" wrapText="1"/>
    </xf>
    <xf numFmtId="164" fontId="24" fillId="0" borderId="0" xfId="0" applyNumberFormat="1" applyFont="1" applyBorder="1" applyAlignment="1">
      <alignment horizontal="right" wrapText="1"/>
    </xf>
    <xf numFmtId="0" fontId="0" fillId="0" borderId="0" xfId="0" applyFont="1" applyBorder="1" applyAlignment="1">
      <alignment horizontal="left" wrapText="1"/>
    </xf>
    <xf numFmtId="0" fontId="0" fillId="0" borderId="78" xfId="0" applyBorder="1" applyAlignment="1">
      <alignment horizontal="left" vertical="center" wrapText="1" indent="1"/>
    </xf>
    <xf numFmtId="164" fontId="14" fillId="18" borderId="140" xfId="0" applyNumberFormat="1" applyFont="1" applyFill="1" applyBorder="1" applyAlignment="1">
      <alignment horizontal="right" vertical="center" wrapText="1"/>
    </xf>
    <xf numFmtId="164" fontId="37" fillId="18" borderId="140" xfId="0" applyNumberFormat="1" applyFont="1" applyFill="1" applyBorder="1" applyAlignment="1">
      <alignment horizontal="right" vertical="center"/>
    </xf>
    <xf numFmtId="164" fontId="0" fillId="18" borderId="140" xfId="0" applyNumberFormat="1" applyFill="1" applyBorder="1" applyAlignment="1">
      <alignment horizontal="right" vertical="center"/>
    </xf>
    <xf numFmtId="164" fontId="0" fillId="17" borderId="140" xfId="0" applyNumberFormat="1" applyFill="1" applyBorder="1" applyAlignment="1">
      <alignment horizontal="right" vertical="center"/>
    </xf>
    <xf numFmtId="164" fontId="14" fillId="18" borderId="140" xfId="0" applyNumberFormat="1" applyFont="1" applyFill="1" applyBorder="1" applyAlignment="1">
      <alignment horizontal="right" vertical="center"/>
    </xf>
    <xf numFmtId="164" fontId="1" fillId="17" borderId="133" xfId="0" applyNumberFormat="1" applyFont="1" applyFill="1" applyBorder="1" applyAlignment="1">
      <alignment vertical="center"/>
    </xf>
    <xf numFmtId="164" fontId="73" fillId="18" borderId="140" xfId="0" applyNumberFormat="1" applyFont="1" applyFill="1" applyBorder="1" applyAlignment="1">
      <alignment vertical="center"/>
    </xf>
    <xf numFmtId="164" fontId="14" fillId="18" borderId="140" xfId="0" applyNumberFormat="1" applyFont="1" applyFill="1" applyBorder="1" applyAlignment="1">
      <alignment vertical="center"/>
    </xf>
    <xf numFmtId="164" fontId="46" fillId="18" borderId="140" xfId="0" applyNumberFormat="1" applyFont="1" applyFill="1" applyBorder="1" applyAlignment="1">
      <alignment vertical="center"/>
    </xf>
    <xf numFmtId="164" fontId="40" fillId="17" borderId="140" xfId="0" applyNumberFormat="1" applyFont="1" applyFill="1" applyBorder="1" applyAlignment="1">
      <alignment vertical="center"/>
    </xf>
    <xf numFmtId="164" fontId="54" fillId="18" borderId="133" xfId="0" applyNumberFormat="1" applyFont="1" applyFill="1" applyBorder="1" applyAlignment="1">
      <alignment vertical="center"/>
    </xf>
    <xf numFmtId="164" fontId="40" fillId="17" borderId="105" xfId="0" applyNumberFormat="1" applyFont="1" applyFill="1" applyBorder="1" applyAlignment="1">
      <alignment vertical="center"/>
    </xf>
    <xf numFmtId="164" fontId="0" fillId="5" borderId="133" xfId="0" applyNumberFormat="1" applyFill="1" applyBorder="1" applyAlignment="1">
      <alignment vertical="center"/>
    </xf>
    <xf numFmtId="164" fontId="37" fillId="10" borderId="140" xfId="0" applyNumberFormat="1" applyFont="1" applyFill="1" applyBorder="1" applyAlignment="1">
      <alignment vertical="center"/>
    </xf>
    <xf numFmtId="164" fontId="14" fillId="10" borderId="140" xfId="0" applyNumberFormat="1" applyFont="1" applyFill="1" applyBorder="1" applyAlignment="1">
      <alignment vertical="center"/>
    </xf>
    <xf numFmtId="164" fontId="14" fillId="11" borderId="140" xfId="0" applyNumberFormat="1" applyFont="1" applyFill="1" applyBorder="1" applyAlignment="1">
      <alignment vertical="center"/>
    </xf>
    <xf numFmtId="164" fontId="43" fillId="11" borderId="140" xfId="0" applyNumberFormat="1" applyFont="1" applyFill="1" applyBorder="1" applyAlignment="1">
      <alignment vertical="center"/>
    </xf>
    <xf numFmtId="164" fontId="1" fillId="5" borderId="140" xfId="0" applyNumberFormat="1" applyFont="1" applyFill="1" applyBorder="1" applyAlignment="1">
      <alignment vertical="center"/>
    </xf>
    <xf numFmtId="164" fontId="1" fillId="11" borderId="140" xfId="0" applyNumberFormat="1" applyFont="1" applyFill="1" applyBorder="1" applyAlignment="1">
      <alignment vertical="center"/>
    </xf>
    <xf numFmtId="164" fontId="0" fillId="11" borderId="140" xfId="0" applyNumberFormat="1" applyFill="1" applyBorder="1" applyAlignment="1">
      <alignment vertical="center"/>
    </xf>
    <xf numFmtId="164" fontId="0" fillId="10" borderId="140" xfId="0" applyNumberFormat="1" applyFill="1" applyBorder="1" applyAlignment="1">
      <alignment vertical="center"/>
    </xf>
    <xf numFmtId="164" fontId="0" fillId="10" borderId="133" xfId="0" applyNumberFormat="1" applyFill="1" applyBorder="1" applyAlignment="1">
      <alignment vertical="center"/>
    </xf>
    <xf numFmtId="164" fontId="1" fillId="5" borderId="133" xfId="0" applyNumberFormat="1" applyFont="1" applyFill="1" applyBorder="1" applyAlignment="1">
      <alignment vertical="center"/>
    </xf>
    <xf numFmtId="164" fontId="0" fillId="0" borderId="140" xfId="0" applyNumberFormat="1" applyBorder="1" applyAlignment="1">
      <alignment vertical="center"/>
    </xf>
    <xf numFmtId="164" fontId="40" fillId="5" borderId="133" xfId="0" applyNumberFormat="1" applyFont="1" applyFill="1" applyBorder="1" applyAlignment="1">
      <alignment vertical="center"/>
    </xf>
    <xf numFmtId="164" fontId="40" fillId="18" borderId="133" xfId="0" applyNumberFormat="1" applyFont="1" applyFill="1" applyBorder="1" applyAlignment="1">
      <alignment vertical="center"/>
    </xf>
    <xf numFmtId="40" fontId="43" fillId="12" borderId="140" xfId="0" applyNumberFormat="1" applyFont="1" applyFill="1" applyBorder="1" applyAlignment="1">
      <alignment vertical="center"/>
    </xf>
    <xf numFmtId="164" fontId="44" fillId="0" borderId="141" xfId="0" applyNumberFormat="1" applyFont="1" applyFill="1" applyBorder="1" applyAlignment="1">
      <alignment vertical="center"/>
    </xf>
    <xf numFmtId="0" fontId="0" fillId="12" borderId="101" xfId="0" applyFill="1" applyBorder="1" applyAlignment="1">
      <alignment vertical="center"/>
    </xf>
  </cellXfs>
  <cellStyles count="11">
    <cellStyle name="20% - Akzent1_HH-Plan AStA + Fachschaften - Entwurf 2" xfId="2"/>
    <cellStyle name="Excel Built-in Normal" xfId="10"/>
    <cellStyle name="Excel Built-in Normal 1" xfId="6"/>
    <cellStyle name="Excel Built-in Normal 2" xfId="9"/>
    <cellStyle name="Excel Built-in Normal 4" xfId="8"/>
    <cellStyle name="Link" xfId="1" builtinId="8"/>
    <cellStyle name="Prozent 2" xfId="5"/>
    <cellStyle name="Standard" xfId="0" builtinId="0"/>
    <cellStyle name="Standard 2" xfId="3"/>
    <cellStyle name="Währung" xfId="7" builtinId="4"/>
    <cellStyle name="Währung 2" xfId="4"/>
  </cellStyles>
  <dxfs count="763">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theme="1"/>
        <name val="Calibri"/>
        <scheme val="minor"/>
      </font>
      <border diagonalUp="0" diagonalDown="0" outline="0">
        <left style="medium">
          <color indexed="64"/>
        </left>
        <right style="thin">
          <color auto="1"/>
        </right>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theme="1"/>
        <name val="Calibri"/>
        <scheme val="minor"/>
      </font>
      <border diagonalUp="0" diagonalDown="0" outline="0">
        <left style="medium">
          <color indexed="64"/>
        </left>
        <right style="thin">
          <color auto="1"/>
        </right>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71" formatCode="#,##0.00\ _€"/>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theme="1"/>
        <name val="Calibri"/>
        <scheme val="minor"/>
      </font>
      <border diagonalUp="0" diagonalDown="0" outline="0">
        <left style="medium">
          <color indexed="64"/>
        </left>
        <right style="thin">
          <color auto="1"/>
        </right>
        <top/>
        <bottom style="medium">
          <color indexed="64"/>
        </bottom>
      </border>
    </dxf>
    <dxf>
      <font>
        <b/>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theme="1"/>
        <name val="Calibri"/>
        <scheme val="minor"/>
      </font>
      <border diagonalUp="0" diagonalDown="0" outline="0">
        <left style="medium">
          <color indexed="64"/>
        </left>
        <right style="thin">
          <color auto="1"/>
        </right>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ertAlign val="baseline"/>
        <sz val="11"/>
        <color theme="10"/>
        <name val="Calibri"/>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rgb="FFFF7C80"/>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theme="1"/>
        <name val="Calibri"/>
        <scheme val="minor"/>
      </font>
      <border diagonalUp="0" diagonalDown="0" outline="0">
        <left style="medium">
          <color indexed="64"/>
        </left>
        <right style="thin">
          <color auto="1"/>
        </right>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i val="0"/>
        <strike val="0"/>
        <condense val="0"/>
        <extend val="0"/>
        <outline val="0"/>
        <shadow val="0"/>
        <u/>
        <vertAlign val="baseline"/>
        <sz val="10"/>
        <color theme="1"/>
        <name val="Calibri"/>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ertAlign val="baseline"/>
        <sz val="11"/>
        <color theme="10"/>
        <name val="Calibri"/>
        <scheme val="minor"/>
      </font>
      <numFmt numFmtId="164" formatCode="#,##0.00\ &quot;€&quot;"/>
      <alignment horizontal="general" vertical="bottom" textRotation="0" wrapText="1" indent="0" justifyLastLine="0" shrinkToFit="0" readingOrder="0"/>
      <border diagonalUp="0" diagonalDown="0" outline="0">
        <left style="thin">
          <color indexed="64"/>
        </left>
        <right style="thin">
          <color auto="1"/>
        </right>
        <top style="thin">
          <color auto="1"/>
        </top>
        <bottom/>
      </border>
    </dxf>
    <dxf>
      <font>
        <b val="0"/>
        <i val="0"/>
        <strike val="0"/>
        <condense val="0"/>
        <extend val="0"/>
        <outline val="0"/>
        <shadow val="0"/>
        <u/>
        <vertAlign val="baseline"/>
        <sz val="11"/>
        <color theme="10"/>
        <name val="Calibri"/>
        <scheme val="minor"/>
      </font>
      <numFmt numFmtId="164" formatCode="#,##0.00\ &quot;€&quot;"/>
      <alignment horizontal="general" vertical="bottom" textRotation="0" wrapText="1" indent="0" justifyLastLine="0" shrinkToFit="0" readingOrder="0"/>
      <border diagonalUp="0" diagonalDown="0" outline="0">
        <left style="thin">
          <color indexed="64"/>
        </left>
        <right style="thin">
          <color auto="1"/>
        </right>
        <top style="thin">
          <color auto="1"/>
        </top>
        <bottom/>
      </border>
    </dxf>
    <dxf>
      <font>
        <b val="0"/>
        <i val="0"/>
        <strike val="0"/>
        <condense val="0"/>
        <extend val="0"/>
        <outline val="0"/>
        <shadow val="0"/>
        <u/>
        <vertAlign val="baseline"/>
        <sz val="11"/>
        <color theme="10"/>
        <name val="Calibri"/>
        <scheme val="minor"/>
      </font>
      <numFmt numFmtId="164" formatCode="#,##0.00\ &quot;€&quot;"/>
      <alignment horizontal="general" vertical="bottom" textRotation="0" wrapText="1" indent="0" justifyLastLine="0" shrinkToFit="0" readingOrder="0"/>
      <border diagonalUp="0" diagonalDown="0" outline="0">
        <left/>
        <right style="thin">
          <color auto="1"/>
        </right>
        <top style="thin">
          <color auto="1"/>
        </top>
        <bottom/>
      </border>
    </dxf>
    <dxf>
      <alignment horizontal="right" vertical="bottom" textRotation="0" wrapText="1" indent="0" justifyLastLine="0" shrinkToFit="0" readingOrder="0"/>
      <border diagonalUp="0" diagonalDown="0" outline="0">
        <left style="medium">
          <color indexed="64"/>
        </left>
        <right style="medium">
          <color indexed="64"/>
        </right>
        <top style="thin">
          <color auto="1"/>
        </top>
        <bottom style="medium">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strike val="0"/>
        <outline val="0"/>
        <shadow val="0"/>
        <vertAlign val="baseline"/>
        <sz val="11"/>
        <name val="Calibri"/>
      </font>
      <numFmt numFmtId="164" formatCode="#,##0.00\ &quot;€&quot;"/>
      <fill>
        <patternFill patternType="none">
          <fgColor indexed="64"/>
          <bgColor indexed="65"/>
        </patternFill>
      </fill>
      <border diagonalUp="0" diagonalDown="0" outline="0">
        <left/>
        <right style="medium">
          <color indexed="64"/>
        </right>
        <top/>
        <bottom/>
      </border>
    </dxf>
    <dxf>
      <font>
        <strike val="0"/>
        <outline val="0"/>
        <shadow val="0"/>
        <vertAlign val="baseline"/>
        <sz val="11"/>
        <name val="Calibri"/>
      </font>
      <numFmt numFmtId="164" formatCode="#,##0.00\ &quot;€&quot;"/>
      <fill>
        <patternFill patternType="none">
          <fgColor indexed="64"/>
          <bgColor indexed="65"/>
        </patternFill>
      </fill>
      <border diagonalUp="0" diagonalDown="0" outline="0">
        <left style="medium">
          <color indexed="64"/>
        </left>
        <right style="thin">
          <color indexed="64"/>
        </right>
        <top/>
        <bottom/>
      </border>
    </dxf>
    <dxf>
      <font>
        <strike val="0"/>
        <outline val="0"/>
        <shadow val="0"/>
        <vertAlign val="baseline"/>
        <sz val="11"/>
        <name val="Calibri"/>
      </font>
    </dxf>
    <dxf>
      <font>
        <strike val="0"/>
        <outline val="0"/>
        <shadow val="0"/>
        <vertAlign val="baseline"/>
        <sz val="11"/>
        <name val="Calibri"/>
      </font>
    </dxf>
    <dxf>
      <font>
        <strike val="0"/>
        <outline val="0"/>
        <shadow val="0"/>
        <vertAlign val="baseline"/>
        <sz val="11"/>
        <name val="Calibri"/>
      </font>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ont>
      <alignment horizontal="general" vertical="top"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strike val="0"/>
        <outline val="0"/>
        <shadow val="0"/>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vertAlign val="baseline"/>
        <sz val="10"/>
        <color theme="1"/>
        <name val="Calibri"/>
        <scheme val="minor"/>
      </font>
    </dxf>
    <dxf>
      <font>
        <strike val="0"/>
        <outline val="0"/>
        <shadow val="0"/>
        <vertAlign val="baseline"/>
        <sz val="10"/>
        <color theme="1"/>
        <name val="Calibri"/>
        <scheme val="minor"/>
      </font>
      <numFmt numFmtId="0" formatCode="General"/>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dxf>
    <dxf>
      <font>
        <strike val="0"/>
        <outline val="0"/>
        <shadow val="0"/>
        <vertAlign val="baseline"/>
        <sz val="10"/>
        <color theme="1"/>
        <name val="Calibri"/>
        <scheme val="minor"/>
      </font>
      <alignment horizontal="general" vertical="bottom"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al="none"/>
        <vertAlign val="baseline"/>
        <sz val="10"/>
        <color theme="1"/>
        <name val="Calibri"/>
        <scheme val="minor"/>
      </font>
      <numFmt numFmtId="164" formatCode="#,##0.00\ &quot;€&quot;"/>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strike val="0"/>
        <outline val="0"/>
        <shadow val="0"/>
        <vertAlign val="baseline"/>
        <sz val="10"/>
        <color theme="1"/>
        <name val="Calibri"/>
        <scheme val="minor"/>
      </font>
      <protection locked="0" hidden="0"/>
    </dxf>
    <dxf>
      <font>
        <strike val="0"/>
        <outline val="0"/>
        <shadow val="0"/>
        <vertAlign val="baseline"/>
        <sz val="10"/>
        <color theme="1"/>
        <name val="Calibri"/>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protection locked="0" hidden="0"/>
    </dxf>
    <dxf>
      <font>
        <strike val="0"/>
        <outline val="0"/>
        <shadow val="0"/>
        <vertAlign val="baseline"/>
        <sz val="10"/>
        <color theme="1"/>
        <name val="Calibri"/>
        <scheme val="minor"/>
      </font>
      <alignment horizontal="center" vertical="bottom" textRotation="0" wrapText="1" indent="0" justifyLastLine="0" shrinkToFit="0" readingOrder="0"/>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protection locked="0" hidden="0"/>
    </dxf>
    <dxf>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border diagonalUp="0" diagonalDown="0">
        <left style="thin">
          <color indexed="64"/>
        </left>
      </border>
      <protection locked="0" hidden="0"/>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scheme val="none"/>
      </font>
    </dxf>
    <dxf>
      <fill>
        <patternFill patternType="solid">
          <fgColor rgb="FF000000"/>
          <bgColor rgb="FFFFCCCC"/>
        </patternFill>
      </fill>
      <protection locked="0" hidden="0"/>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strike val="0"/>
        <outline val="0"/>
        <shadow val="0"/>
        <vertAlign val="baseline"/>
        <sz val="11"/>
        <name val="Calibri"/>
      </font>
      <numFmt numFmtId="164" formatCode="#,##0.00\ &quot;€&quot;"/>
      <fill>
        <patternFill patternType="none">
          <fgColor indexed="64"/>
          <bgColor indexed="65"/>
        </patternFill>
      </fill>
    </dxf>
    <dxf>
      <font>
        <strike val="0"/>
        <outline val="0"/>
        <shadow val="0"/>
        <vertAlign val="baseline"/>
        <sz val="11"/>
        <name val="Calibri"/>
      </font>
      <numFmt numFmtId="164" formatCode="#,##0.00\ &quot;€&quot;"/>
      <fill>
        <patternFill patternType="none">
          <fgColor indexed="64"/>
          <bgColor indexed="65"/>
        </patternFill>
      </fill>
      <border diagonalUp="0" diagonalDown="0" outline="0">
        <left style="medium">
          <color indexed="64"/>
        </left>
      </border>
    </dxf>
    <dxf>
      <font>
        <strike val="0"/>
        <outline val="0"/>
        <shadow val="0"/>
        <vertAlign val="baseline"/>
        <sz val="11"/>
        <name val="Calibri"/>
      </font>
    </dxf>
    <dxf>
      <font>
        <strike val="0"/>
        <outline val="0"/>
        <shadow val="0"/>
        <vertAlign val="baseline"/>
        <sz val="11"/>
        <name val="Calibri"/>
      </font>
    </dxf>
    <dxf>
      <font>
        <strike val="0"/>
        <outline val="0"/>
        <shadow val="0"/>
        <vertAlign val="baseline"/>
        <sz val="11"/>
        <name val="Calibri"/>
      </font>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ont>
      <alignment horizontal="general" vertical="top"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strike val="0"/>
        <outline val="0"/>
        <shadow val="0"/>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vertAlign val="baseline"/>
        <sz val="10"/>
        <color theme="1"/>
        <name val="Calibri"/>
        <scheme val="minor"/>
      </font>
    </dxf>
    <dxf>
      <font>
        <strike val="0"/>
        <outline val="0"/>
        <shadow val="0"/>
        <vertAlign val="baseline"/>
        <sz val="10"/>
        <color theme="1"/>
        <name val="Calibri"/>
        <scheme val="minor"/>
      </font>
      <numFmt numFmtId="0" formatCode="General"/>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dxf>
    <dxf>
      <font>
        <strike val="0"/>
        <outline val="0"/>
        <shadow val="0"/>
        <vertAlign val="baseline"/>
        <sz val="10"/>
        <color theme="1"/>
        <name val="Calibri"/>
        <scheme val="minor"/>
      </font>
      <alignment horizontal="general" vertical="bottom"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al="none"/>
        <vertAlign val="baseline"/>
        <sz val="10"/>
        <color theme="1"/>
        <name val="Calibri"/>
        <scheme val="minor"/>
      </font>
      <numFmt numFmtId="164" formatCode="#,##0.00\ &quot;€&quot;"/>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strike val="0"/>
        <outline val="0"/>
        <shadow val="0"/>
        <vertAlign val="baseline"/>
        <sz val="10"/>
        <color theme="1"/>
        <name val="Calibri"/>
        <scheme val="minor"/>
      </font>
      <protection locked="0" hidden="0"/>
    </dxf>
    <dxf>
      <font>
        <strike val="0"/>
        <outline val="0"/>
        <shadow val="0"/>
        <vertAlign val="baseline"/>
        <sz val="10"/>
        <color theme="1"/>
        <name val="Calibri"/>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protection locked="0" hidden="0"/>
    </dxf>
    <dxf>
      <font>
        <strike val="0"/>
        <outline val="0"/>
        <shadow val="0"/>
        <vertAlign val="baseline"/>
        <sz val="10"/>
        <color theme="1"/>
        <name val="Calibri"/>
        <scheme val="minor"/>
      </font>
      <alignment horizontal="center" vertical="bottom" textRotation="0" wrapText="1" indent="0" justifyLastLine="0" shrinkToFit="0" readingOrder="0"/>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protection locked="0" hidden="0"/>
    </dxf>
    <dxf>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border diagonalUp="0" diagonalDown="0">
        <left style="thin">
          <color indexed="64"/>
        </left>
      </border>
      <protection locked="0" hidden="0"/>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scheme val="none"/>
      </font>
    </dxf>
    <dxf>
      <fill>
        <patternFill patternType="solid">
          <fgColor rgb="FF000000"/>
          <bgColor rgb="FFFFCCCC"/>
        </patternFill>
      </fill>
      <protection locked="0" hidden="0"/>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medium">
          <color indexed="64"/>
        </left>
        <right style="thin">
          <color indexed="64"/>
        </right>
        <top/>
        <bottom/>
      </border>
    </dxf>
    <dxf>
      <font>
        <strike val="0"/>
        <outline val="0"/>
        <shadow val="0"/>
        <vertAlign val="baseline"/>
        <sz val="11"/>
        <name val="Calibri"/>
      </font>
    </dxf>
    <dxf>
      <font>
        <strike val="0"/>
        <outline val="0"/>
        <shadow val="0"/>
        <vertAlign val="baseline"/>
        <sz val="11"/>
        <name val="Calibri"/>
      </font>
    </dxf>
    <dxf>
      <font>
        <strike val="0"/>
        <outline val="0"/>
        <shadow val="0"/>
        <vertAlign val="baseline"/>
        <sz val="11"/>
        <name val="Calibri"/>
      </font>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ont>
      <alignment horizontal="general" vertical="top"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right style="medium">
          <color indexed="64"/>
        </right>
        <top/>
        <bottom/>
        <vertical/>
        <horizontal/>
      </border>
      <protection locked="1" hidden="0"/>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strike val="0"/>
        <outline val="0"/>
        <shadow val="0"/>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vertAlign val="baseline"/>
        <sz val="10"/>
        <color theme="1"/>
        <name val="Calibri"/>
        <scheme val="minor"/>
      </font>
    </dxf>
    <dxf>
      <font>
        <strike val="0"/>
        <outline val="0"/>
        <shadow val="0"/>
        <vertAlign val="baseline"/>
        <sz val="10"/>
        <color theme="1"/>
        <name val="Calibri"/>
        <scheme val="minor"/>
      </font>
      <numFmt numFmtId="0" formatCode="General"/>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dxf>
    <dxf>
      <font>
        <strike val="0"/>
        <outline val="0"/>
        <shadow val="0"/>
        <vertAlign val="baseline"/>
        <sz val="10"/>
        <color theme="1"/>
        <name val="Calibri"/>
        <scheme val="minor"/>
      </font>
      <alignment horizontal="general" vertical="bottom"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al="none"/>
        <vertAlign val="baseline"/>
        <sz val="10"/>
        <color theme="1"/>
        <name val="Calibri"/>
        <scheme val="minor"/>
      </font>
      <numFmt numFmtId="164" formatCode="#,##0.00\ &quot;€&quot;"/>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strike val="0"/>
        <outline val="0"/>
        <shadow val="0"/>
        <vertAlign val="baseline"/>
        <sz val="10"/>
        <color theme="1"/>
        <name val="Calibri"/>
        <scheme val="minor"/>
      </font>
      <protection locked="0" hidden="0"/>
    </dxf>
    <dxf>
      <font>
        <strike val="0"/>
        <outline val="0"/>
        <shadow val="0"/>
        <vertAlign val="baseline"/>
        <sz val="10"/>
        <color theme="1"/>
        <name val="Calibri"/>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protection locked="0" hidden="0"/>
    </dxf>
    <dxf>
      <font>
        <strike val="0"/>
        <outline val="0"/>
        <shadow val="0"/>
        <vertAlign val="baseline"/>
        <sz val="10"/>
        <color theme="1"/>
        <name val="Calibri"/>
        <scheme val="minor"/>
      </font>
      <alignment horizontal="center" vertical="bottom" textRotation="0" wrapText="1" indent="0" justifyLastLine="0" shrinkToFit="0" readingOrder="0"/>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protection locked="0" hidden="0"/>
    </dxf>
    <dxf>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border diagonalUp="0" diagonalDown="0">
        <left style="thin">
          <color indexed="64"/>
        </left>
      </border>
      <protection locked="0" hidden="0"/>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scheme val="none"/>
      </font>
    </dxf>
    <dxf>
      <fill>
        <patternFill patternType="solid">
          <fgColor rgb="FF000000"/>
          <bgColor rgb="FFFFCCCC"/>
        </patternFill>
      </fill>
      <protection locked="0" hidden="0"/>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strike val="0"/>
        <outline val="0"/>
        <shadow val="0"/>
        <vertAlign val="baseline"/>
        <sz val="11"/>
        <name val="Calibri"/>
      </font>
      <numFmt numFmtId="164" formatCode="#,##0.00\ &quot;€&quot;"/>
      <fill>
        <patternFill patternType="none">
          <fgColor indexed="64"/>
          <bgColor indexed="65"/>
        </patternFill>
      </fill>
      <border diagonalUp="0" diagonalDown="0" outline="0">
        <left/>
        <right style="medium">
          <color indexed="64"/>
        </right>
        <top/>
        <bottom/>
      </border>
    </dxf>
    <dxf>
      <font>
        <strike val="0"/>
        <outline val="0"/>
        <shadow val="0"/>
        <vertAlign val="baseline"/>
        <sz val="11"/>
        <name val="Calibri"/>
      </font>
      <numFmt numFmtId="164" formatCode="#,##0.00\ &quot;€&quot;"/>
      <fill>
        <patternFill patternType="none">
          <fgColor indexed="64"/>
          <bgColor indexed="65"/>
        </patternFill>
      </fill>
      <border diagonalUp="0" diagonalDown="0" outline="0">
        <left style="medium">
          <color indexed="64"/>
        </left>
        <right style="thin">
          <color indexed="64"/>
        </right>
        <top/>
        <bottom/>
      </border>
    </dxf>
    <dxf>
      <font>
        <strike val="0"/>
        <outline val="0"/>
        <shadow val="0"/>
        <vertAlign val="baseline"/>
        <sz val="11"/>
        <name val="Calibri"/>
      </font>
    </dxf>
    <dxf>
      <font>
        <strike val="0"/>
        <outline val="0"/>
        <shadow val="0"/>
        <vertAlign val="baseline"/>
        <sz val="11"/>
        <name val="Calibri"/>
      </font>
    </dxf>
    <dxf>
      <font>
        <strike val="0"/>
        <outline val="0"/>
        <shadow val="0"/>
        <vertAlign val="baseline"/>
        <sz val="11"/>
        <name val="Calibri"/>
      </font>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ont>
      <alignment horizontal="general" vertical="top"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strike val="0"/>
        <outline val="0"/>
        <shadow val="0"/>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vertAlign val="baseline"/>
        <sz val="10"/>
        <color theme="1"/>
        <name val="Calibri"/>
        <scheme val="minor"/>
      </font>
    </dxf>
    <dxf>
      <font>
        <strike val="0"/>
        <outline val="0"/>
        <shadow val="0"/>
        <vertAlign val="baseline"/>
        <sz val="10"/>
        <color theme="1"/>
        <name val="Calibri"/>
        <scheme val="minor"/>
      </font>
      <numFmt numFmtId="0" formatCode="General"/>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dxf>
    <dxf>
      <font>
        <strike val="0"/>
        <outline val="0"/>
        <shadow val="0"/>
        <vertAlign val="baseline"/>
        <sz val="10"/>
        <color theme="1"/>
        <name val="Calibri"/>
        <scheme val="minor"/>
      </font>
      <alignment horizontal="general" vertical="bottom"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al="none"/>
        <vertAlign val="baseline"/>
        <sz val="10"/>
        <color theme="1"/>
        <name val="Calibri"/>
        <scheme val="minor"/>
      </font>
      <numFmt numFmtId="164" formatCode="#,##0.00\ &quot;€&quot;"/>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protection locked="0" hidden="0"/>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strike val="0"/>
        <outline val="0"/>
        <shadow val="0"/>
        <vertAlign val="baseline"/>
        <sz val="10"/>
        <color theme="1"/>
        <name val="Calibri"/>
        <scheme val="minor"/>
      </font>
      <protection locked="0" hidden="0"/>
    </dxf>
    <dxf>
      <font>
        <strike val="0"/>
        <outline val="0"/>
        <shadow val="0"/>
        <vertAlign val="baseline"/>
        <sz val="10"/>
        <color theme="1"/>
        <name val="Calibri"/>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scheme val="none"/>
      </font>
    </dxf>
    <dxf>
      <font>
        <strike val="0"/>
        <outline val="0"/>
        <shadow val="0"/>
        <vertAlign val="baseline"/>
        <sz val="10"/>
        <color rgb="FF000000"/>
        <name val="Calibri"/>
        <scheme val="none"/>
      </font>
      <fill>
        <patternFill patternType="solid">
          <fgColor rgb="FF000000"/>
          <bgColor rgb="FFFFCCCC"/>
        </patternFill>
      </fill>
      <protection locked="0" hidden="0"/>
    </dxf>
    <dxf>
      <font>
        <strike val="0"/>
        <outline val="0"/>
        <shadow val="0"/>
        <vertAlign val="baseline"/>
        <sz val="10"/>
        <color theme="1"/>
        <name val="Calibri"/>
        <scheme val="minor"/>
      </font>
      <alignment horizontal="center" vertical="bottom" textRotation="0" wrapText="1" indent="0" justifyLastLine="0" shrinkToFit="0" readingOrder="0"/>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protection locked="0" hidden="0"/>
    </dxf>
    <dxf>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border diagonalUp="0" diagonalDown="0">
        <left style="thin">
          <color indexed="64"/>
        </left>
      </border>
      <protection locked="0" hidden="0"/>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scheme val="none"/>
      </font>
    </dxf>
    <dxf>
      <fill>
        <patternFill patternType="solid">
          <fgColor rgb="FF000000"/>
          <bgColor rgb="FFFFCCCC"/>
        </patternFill>
      </fill>
      <protection locked="0" hidden="0"/>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strike val="0"/>
        <outline val="0"/>
        <shadow val="0"/>
        <u/>
        <vertAlign val="baseline"/>
        <sz val="11"/>
        <color theme="4"/>
        <name val="Calibri"/>
      </font>
      <numFmt numFmtId="164" formatCode="#,##0.00\ &quot;€&quo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medium">
          <color indexed="64"/>
        </right>
        <top/>
        <bottom/>
      </border>
    </dxf>
    <dxf>
      <font>
        <strike val="0"/>
        <outline val="0"/>
        <shadow val="0"/>
        <vertAlign val="baseline"/>
        <sz val="11"/>
        <name val="Calibri"/>
      </font>
      <numFmt numFmtId="164" formatCode="#,##0.00\ &quot;€&quot;"/>
      <fill>
        <patternFill patternType="none">
          <fgColor indexed="64"/>
          <bgColor indexed="65"/>
        </patternFill>
      </fill>
      <border diagonalUp="0" diagonalDown="0" outline="0">
        <left style="medium">
          <color indexed="64"/>
        </left>
        <right style="thin">
          <color indexed="64"/>
        </right>
        <top/>
        <bottom/>
      </border>
    </dxf>
    <dxf>
      <font>
        <strike val="0"/>
        <outline val="0"/>
        <shadow val="0"/>
        <vertAlign val="baseline"/>
        <sz val="11"/>
        <name val="Calibri"/>
      </font>
    </dxf>
    <dxf>
      <font>
        <strike val="0"/>
        <outline val="0"/>
        <shadow val="0"/>
        <vertAlign val="baseline"/>
        <sz val="11"/>
        <name val="Calibri"/>
      </font>
    </dxf>
    <dxf>
      <font>
        <strike val="0"/>
        <outline val="0"/>
        <shadow val="0"/>
        <vertAlign val="baseline"/>
        <sz val="11"/>
        <name val="Calibri"/>
      </font>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ont>
      <fill>
        <patternFill patternType="solid">
          <fgColor indexed="64"/>
          <bgColor rgb="FFFF7C80"/>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font>
        <strike val="0"/>
        <outline val="0"/>
        <shadow val="0"/>
        <vertAlign val="baseline"/>
        <sz val="10"/>
        <name val="Calibri"/>
      </font>
      <alignment horizontal="general" vertical="top"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strike val="0"/>
        <outline val="0"/>
        <shadow val="0"/>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vertAlign val="baseline"/>
        <sz val="10"/>
        <color theme="1"/>
        <name val="Calibri"/>
        <scheme val="minor"/>
      </font>
    </dxf>
    <dxf>
      <font>
        <strike val="0"/>
        <outline val="0"/>
        <shadow val="0"/>
        <vertAlign val="baseline"/>
        <sz val="10"/>
        <color theme="1"/>
        <name val="Calibri"/>
        <scheme val="minor"/>
      </font>
      <numFmt numFmtId="0" formatCode="General"/>
    </dxf>
    <dxf>
      <font>
        <strike val="0"/>
        <outline val="0"/>
        <shadow val="0"/>
        <vertAlign val="baseline"/>
        <sz val="10"/>
        <color theme="1"/>
        <name val="Calibri"/>
        <scheme val="minor"/>
      </font>
    </dxf>
    <dxf>
      <font>
        <strike val="0"/>
        <outline val="0"/>
        <shadow val="0"/>
        <vertAlign val="baseline"/>
        <sz val="10"/>
        <color theme="1"/>
        <name val="Calibri"/>
        <scheme val="minor"/>
      </font>
      <fill>
        <patternFill patternType="solid">
          <fgColor indexed="64"/>
          <bgColor rgb="FFFFCCCC"/>
        </patternFill>
      </fill>
    </dxf>
    <dxf>
      <font>
        <strike val="0"/>
        <outline val="0"/>
        <shadow val="0"/>
        <vertAlign val="baseline"/>
        <sz val="10"/>
        <color theme="1"/>
        <name val="Calibri"/>
        <scheme val="minor"/>
      </font>
      <alignment horizontal="general" vertical="bottom" textRotation="0" wrapText="1" indent="0" justifyLastLine="0" shrinkToFit="0" readingOrder="0"/>
    </dxf>
    <dxf>
      <font>
        <strike val="0"/>
        <outline val="0"/>
        <shadow val="0"/>
        <vertAlign val="baseline"/>
        <sz val="10"/>
        <color theme="1"/>
        <name val="Calibri"/>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al="none"/>
        <vertAlign val="baseline"/>
        <sz val="10"/>
        <color theme="1"/>
        <name val="Calibri"/>
        <scheme val="minor"/>
      </font>
      <numFmt numFmtId="164" formatCode="#,##0.00\ &quot;€&quot;"/>
      <protection locked="0" hidden="0"/>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rgb="FFFFCCCC"/>
        </patternFill>
      </fill>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dxf>
    <dxf>
      <font>
        <strike val="0"/>
        <outline val="0"/>
        <shadow val="0"/>
        <vertAlign val="baseline"/>
        <sz val="10"/>
        <color theme="1"/>
        <name val="Calibri"/>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dxf>
    <dxf>
      <font>
        <strike val="0"/>
        <outline val="0"/>
        <shadow val="0"/>
        <vertAlign val="baseline"/>
        <sz val="10"/>
        <color theme="1"/>
        <name val="Calibri"/>
        <scheme val="minor"/>
      </font>
    </dxf>
    <dxf>
      <font>
        <strike val="0"/>
        <outline val="0"/>
        <shadow val="0"/>
        <vertAlign val="baseline"/>
        <sz val="10"/>
        <color theme="1"/>
        <name val="Calibri"/>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medium">
          <color indexed="64"/>
        </bottom>
      </border>
    </dxf>
    <dxf>
      <font>
        <strike val="0"/>
        <outline val="0"/>
        <shadow val="0"/>
        <vertAlign val="baseline"/>
        <sz val="10"/>
        <color theme="1"/>
        <name val="Calibri"/>
        <scheme val="minor"/>
      </font>
    </dxf>
    <dxf>
      <font>
        <strike val="0"/>
        <outline val="0"/>
        <shadow val="0"/>
        <vertAlign val="baseline"/>
        <sz val="10"/>
        <color theme="1"/>
        <name val="Calibri"/>
        <scheme val="minor"/>
      </font>
      <fill>
        <patternFill patternType="solid">
          <fgColor indexed="64"/>
          <bgColor rgb="FFFFCCCC"/>
        </patternFill>
      </fill>
    </dxf>
    <dxf>
      <font>
        <strike val="0"/>
        <outline val="0"/>
        <shadow val="0"/>
        <vertAlign val="baseline"/>
        <sz val="10"/>
        <color theme="1"/>
        <name val="Calibri"/>
        <scheme val="minor"/>
      </font>
      <alignment horizontal="center" vertical="bottom" textRotation="0" wrapText="1" indent="0" justifyLastLine="0" shrinkToFit="0" readingOrder="0"/>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none">
          <fgColor indexed="64"/>
          <bgColor indexed="65"/>
        </patternFill>
      </fill>
      <border diagonalUp="0" diagonalDown="0">
        <left style="medium">
          <color indexed="64"/>
        </left>
        <right/>
        <top/>
        <bottom/>
        <vertical/>
        <horizontal/>
      </border>
      <protection locked="0" hidden="0"/>
    </dxf>
    <dxf>
      <border diagonalUp="0" diagonalDown="0">
        <left style="thin">
          <color auto="1"/>
        </left>
        <right/>
        <top/>
        <bottom/>
        <vertical/>
        <horizontal/>
      </border>
      <protection locked="0" hidden="0"/>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theme="1"/>
        <name val="Calibri"/>
        <scheme val="minor"/>
      </font>
    </dxf>
    <dxf>
      <fill>
        <patternFill patternType="solid">
          <fgColor indexed="64"/>
          <bgColor rgb="FFFFCCCC"/>
        </patternFill>
      </fill>
      <protection locked="0" hidden="0"/>
    </dxf>
    <dxf>
      <font>
        <strike val="0"/>
        <outline val="0"/>
        <shadow val="0"/>
        <u val="none"/>
        <vertAlign val="baseline"/>
        <sz val="11"/>
        <color theme="1"/>
        <name val="Calibri"/>
        <scheme val="minor"/>
      </font>
      <alignment horizontal="general" vertical="bottom" textRotation="0" wrapText="1" indent="0" justifyLastLine="0" shrinkToFit="0" readingOrder="0"/>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textRotation="0" wrapText="1"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justifyLastLine="0" shrinkToFit="0" readingOrder="0"/>
      <border diagonalUp="0" diagonalDown="0">
        <left style="medium">
          <color indexed="64"/>
        </left>
        <right style="medium">
          <color indexed="64"/>
        </right>
        <top style="thin">
          <color auto="1"/>
        </top>
        <bottom style="thin">
          <color auto="1"/>
        </bottom>
        <vertical/>
        <horizontal style="thin">
          <color auto="1"/>
        </horizontal>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textRotation="0" wrapText="1" justifyLastLine="0" shrinkToFit="0" readingOrder="0"/>
    </dxf>
    <dxf>
      <border>
        <bottom style="thin">
          <color auto="1"/>
        </bottom>
      </border>
    </dxf>
    <dxf>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numFmt numFmtId="164" formatCode="#,##0.00\ &quot;€&quot;"/>
      <fill>
        <patternFill patternType="solid">
          <fgColor indexed="64"/>
          <bgColor theme="9" tint="0.79998168889431442"/>
        </patternFill>
      </fill>
      <border diagonalUp="0" diagonalDown="0">
        <left style="thin">
          <color indexed="64"/>
        </left>
        <right style="medium">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none">
          <fgColor indexed="64"/>
          <bgColor indexed="65"/>
        </patternFill>
      </fill>
      <border diagonalUp="0" diagonalDown="0">
        <left style="thin">
          <color indexed="64"/>
        </left>
        <right style="thin">
          <color indexed="64"/>
        </right>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alignment horizontal="right" vertical="bottom" textRotation="0" wrapText="1" indent="0" justifyLastLine="0" shrinkToFit="0" readingOrder="0"/>
      <border diagonalUp="0" diagonalDown="0" outline="0">
        <left style="medium">
          <color indexed="64"/>
        </left>
        <right style="thin">
          <color indexed="64"/>
        </right>
        <top/>
        <bottom/>
      </border>
    </dxf>
    <dxf>
      <alignment horizontal="general" vertical="bottom" textRotation="0" wrapText="1" indent="0" justifyLastLine="0" shrinkToFit="0" readingOrder="0"/>
      <border diagonalUp="0" diagonalDown="0">
        <left style="medium">
          <color indexed="64"/>
        </left>
        <right style="thin">
          <color indexed="64"/>
        </right>
        <top style="thin">
          <color indexed="64"/>
        </top>
        <bottom/>
        <vertical/>
        <horizontal/>
      </border>
    </dxf>
    <dxf>
      <border outline="0">
        <bottom style="medium">
          <color indexed="64"/>
        </bottom>
      </border>
    </dxf>
    <dxf>
      <fill>
        <patternFill patternType="solid">
          <fgColor indexed="64"/>
          <bgColor theme="9" tint="0.79998168889431442"/>
        </patternFill>
      </fill>
    </dxf>
    <dxf>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relative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scheme val="minor"/>
      </font>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1" justifyLastLine="0" shrinkToFit="0" readingOrder="0"/>
      <border diagonalUp="0" diagonalDown="0" outline="0">
        <left style="thin">
          <color indexed="64"/>
        </left>
        <right style="thin">
          <color auto="1"/>
        </right>
        <top style="thin">
          <color auto="1"/>
        </top>
        <bottom/>
      </border>
    </dxf>
    <dxf>
      <alignment horizontal="left" vertical="bottom"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right style="thin">
          <color auto="1"/>
        </right>
        <top style="thin">
          <color auto="1"/>
        </top>
        <bottom/>
      </border>
    </dxf>
    <dxf>
      <alignment horizontal="left" vertical="bottom" textRotation="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alignment horizontal="left" vertical="bottom" textRotation="0" relativeIndent="1"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relativeIndent="1" justifyLastLine="0" shrinkToFit="0" readingOrder="0"/>
    </dxf>
    <dxf>
      <border outline="0">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scheme val="minor"/>
      </font>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1" justifyLastLine="0" shrinkToFit="0" readingOrder="0"/>
      <border diagonalUp="0" diagonalDown="0" outline="0">
        <left style="thin">
          <color indexed="64"/>
        </left>
        <right style="thin">
          <color auto="1"/>
        </right>
        <top style="thin">
          <color auto="1"/>
        </top>
        <bottom/>
      </border>
    </dxf>
    <dxf>
      <alignment horizontal="left" vertical="bottom"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right style="thin">
          <color auto="1"/>
        </right>
        <top style="thin">
          <color auto="1"/>
        </top>
        <bottom/>
      </border>
    </dxf>
    <dxf>
      <alignment horizontal="left" vertical="bottom" textRotation="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alignment horizontal="left" vertical="bottom" textRotation="0" relativeIndent="1"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relativeIndent="1" justifyLastLine="0" shrinkToFit="0" readingOrder="0"/>
    </dxf>
    <dxf>
      <border outline="0">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bottom/>
      </border>
    </dxf>
    <dxf>
      <numFmt numFmtId="164" formatCode="#,##0.00\ &quot;€&quot;"/>
      <border diagonalUp="0" diagonalDown="0" outline="0">
        <left style="medium">
          <color indexed="64"/>
        </left>
        <right style="medium">
          <color indexed="64"/>
        </right>
        <top style="medium">
          <color indexed="64"/>
        </top>
        <bottom style="medium">
          <color indexed="64"/>
        </bottom>
      </border>
    </dxf>
    <dxf>
      <numFmt numFmtId="164" formatCode="#,##0.00\ &quot;€&quot;"/>
    </dxf>
    <dxf>
      <border diagonalUp="0" diagonalDown="0" outline="0">
        <left/>
        <right/>
        <top/>
        <bottom/>
      </border>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numFmt numFmtId="164" formatCode="#,##0.00\ &quot;€&quot;"/>
      <border diagonalUp="0" diagonalDown="0" outline="0">
        <left style="medium">
          <color theme="1"/>
        </left>
        <right style="medium">
          <color theme="1"/>
        </right>
        <top style="medium">
          <color theme="1"/>
        </top>
        <bottom style="medium">
          <color theme="1"/>
        </bottom>
      </border>
    </dxf>
    <dxf>
      <numFmt numFmtId="164" formatCode="#,##0.00\ &quot;€&quot;"/>
    </dxf>
    <dxf>
      <border diagonalUp="0" diagonalDown="0" outline="0">
        <left/>
        <right/>
        <top/>
        <bottom/>
      </border>
    </dxf>
    <dxf>
      <border diagonalUp="0" diagonalDown="0" outline="0">
        <left/>
        <right/>
        <top/>
        <bottom/>
      </border>
    </dxf>
    <dxf>
      <numFmt numFmtId="164" formatCode="#,##0.00\ &quot;€&quot;"/>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numFmt numFmtId="164" formatCode="#,##0.00\ &quot;€&quot;"/>
      <border diagonalUp="0" diagonalDown="0" outline="0">
        <left style="medium">
          <color indexed="64"/>
        </left>
        <right style="medium">
          <color indexed="64"/>
        </right>
        <top style="medium">
          <color indexed="64"/>
        </top>
        <bottom style="medium">
          <color indexed="64"/>
        </bottom>
      </border>
    </dxf>
    <dxf>
      <numFmt numFmtId="164" formatCode="#,##0.00\ &quot;€&quot;"/>
    </dxf>
    <dxf>
      <border diagonalUp="0" diagonalDown="0" outline="0">
        <left/>
        <right/>
        <top/>
        <bottom/>
      </border>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font>
        <strike val="0"/>
        <outline val="0"/>
        <shadow val="0"/>
        <u val="none"/>
        <vertAlign val="subscript"/>
        <sz val="8"/>
        <color theme="0"/>
        <name val="Calibri"/>
        <scheme val="minor"/>
      </font>
      <numFmt numFmtId="0" formatCode="General"/>
    </dxf>
    <dxf>
      <alignment horizontal="right" vertical="bottom" textRotation="0" wrapTex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dde/Desktop/Haushalt%20Wiwi%20ne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Wi"/>
    </sheetNames>
    <sheetDataSet>
      <sheetData sheetId="0">
        <row r="5">
          <cell r="E5">
            <v>56381</v>
          </cell>
          <cell r="G5">
            <v>23000</v>
          </cell>
        </row>
        <row r="6">
          <cell r="E6">
            <v>0</v>
          </cell>
          <cell r="G6">
            <v>0</v>
          </cell>
        </row>
        <row r="7">
          <cell r="E7">
            <v>0</v>
          </cell>
          <cell r="G7">
            <v>0</v>
          </cell>
        </row>
        <row r="11">
          <cell r="E11">
            <v>8600</v>
          </cell>
          <cell r="G11">
            <v>10400</v>
          </cell>
        </row>
        <row r="12">
          <cell r="E12">
            <v>15000</v>
          </cell>
          <cell r="G12">
            <v>14000</v>
          </cell>
        </row>
        <row r="13">
          <cell r="E13">
            <v>4200</v>
          </cell>
          <cell r="G13">
            <v>3000</v>
          </cell>
        </row>
        <row r="14">
          <cell r="E14">
            <v>1000</v>
          </cell>
          <cell r="G14">
            <v>200</v>
          </cell>
        </row>
        <row r="15">
          <cell r="E15">
            <v>45600</v>
          </cell>
          <cell r="G15">
            <v>31499.999999999996</v>
          </cell>
        </row>
        <row r="16">
          <cell r="E16">
            <v>2000</v>
          </cell>
          <cell r="G16">
            <v>6750</v>
          </cell>
        </row>
        <row r="17">
          <cell r="E17">
            <v>1100</v>
          </cell>
          <cell r="G17">
            <v>6750</v>
          </cell>
        </row>
        <row r="18">
          <cell r="E18">
            <v>1500</v>
          </cell>
          <cell r="G18">
            <v>2100</v>
          </cell>
        </row>
        <row r="19">
          <cell r="E19">
            <v>3000</v>
          </cell>
          <cell r="G19">
            <v>4000</v>
          </cell>
        </row>
        <row r="20">
          <cell r="E20">
            <v>4000</v>
          </cell>
          <cell r="G20">
            <v>0</v>
          </cell>
        </row>
        <row r="21">
          <cell r="E21">
            <v>3400</v>
          </cell>
          <cell r="G21">
            <v>4000</v>
          </cell>
        </row>
        <row r="22">
          <cell r="E22">
            <v>500</v>
          </cell>
          <cell r="G22">
            <v>700</v>
          </cell>
        </row>
      </sheetData>
    </sheetDataSet>
  </externalBook>
</externalLink>
</file>

<file path=xl/tables/table1.xml><?xml version="1.0" encoding="utf-8"?>
<table xmlns="http://schemas.openxmlformats.org/spreadsheetml/2006/main" id="1" name="Tabelle1" displayName="Tabelle1" ref="A5:K282" totalsRowShown="0" headerRowDxfId="762">
  <autoFilter ref="A5:K282"/>
  <tableColumns count="11">
    <tableColumn id="1" name="Titel" dataDxfId="761"/>
    <tableColumn id="10" name="Spalte1" dataDxfId="760">
      <calculatedColumnFormula>ROW(B1)</calculatedColumnFormula>
    </tableColumn>
    <tableColumn id="2" name="Titel alt"/>
    <tableColumn id="3" name="Kontenbezeichnung"/>
    <tableColumn id="24" name="SOLL HHJ 22-23"/>
    <tableColumn id="4" name="SOLL HHJ 21-22" dataDxfId="759"/>
    <tableColumn id="8" name="IST HHJ 21-22" dataDxfId="758"/>
    <tableColumn id="7" name="SOLL Vorjahr" dataDxfId="757"/>
    <tableColumn id="6" name="NHH Vorjahr" dataDxfId="756"/>
    <tableColumn id="5" name="IST HHJ 20-21" dataDxfId="755"/>
    <tableColumn id="9" name="Spalte4" dataDxfId="754"/>
  </tableColumns>
  <tableStyleInfo name="TableStyleLight11" showFirstColumn="0" showLastColumn="0" showRowStripes="1" showColumnStripes="0"/>
</table>
</file>

<file path=xl/tables/table10.xml><?xml version="1.0" encoding="utf-8"?>
<table xmlns="http://schemas.openxmlformats.org/spreadsheetml/2006/main" id="38" name="Tabelle2111239" displayName="Tabelle2111239" ref="F32:I38" totalsRowCount="1" headerRowDxfId="668" headerRowBorderDxfId="667" tableBorderDxfId="666" totalsRowBorderDxfId="665">
  <autoFilter ref="F32:I37"/>
  <tableColumns count="4">
    <tableColumn id="1" name="Nr." totalsRowLabel="Gesamt" totalsRowDxfId="664"/>
    <tableColumn id="2" name="Betrag" totalsRowFunction="sum" dataDxfId="663" totalsRowDxfId="662"/>
    <tableColumn id="3" name="Was?" dataDxfId="661" totalsRowDxfId="660"/>
    <tableColumn id="4" name="Begründung" totalsRowFunction="count" dataDxfId="659" totalsRowDxfId="658"/>
  </tableColumns>
  <tableStyleInfo name="TableStyleLight11" showFirstColumn="0" showLastColumn="0" showRowStripes="1" showColumnStripes="0"/>
</table>
</file>

<file path=xl/tables/table11.xml><?xml version="1.0" encoding="utf-8"?>
<table xmlns="http://schemas.openxmlformats.org/spreadsheetml/2006/main" id="51" name="Tabelle252" displayName="Tabelle252" ref="A13:D19" totalsRowCount="1" headerRowDxfId="657" headerRowBorderDxfId="656" tableBorderDxfId="655" totalsRowBorderDxfId="654">
  <autoFilter ref="A13:D18"/>
  <tableColumns count="4">
    <tableColumn id="1" name="Nr." totalsRowLabel="Gesamt" totalsRowDxfId="653"/>
    <tableColumn id="2" name="Betrag" totalsRowFunction="sum" dataDxfId="652" totalsRowDxfId="651"/>
    <tableColumn id="3" name="Was?" dataDxfId="650" totalsRowDxfId="649"/>
    <tableColumn id="4" name="Begründung" totalsRowFunction="count" dataDxfId="648" totalsRowDxfId="647"/>
  </tableColumns>
  <tableStyleInfo name="TableStyleLight11" showFirstColumn="0" showLastColumn="0" showRowStripes="1" showColumnStripes="0"/>
</table>
</file>

<file path=xl/tables/table12.xml><?xml version="1.0" encoding="utf-8"?>
<table xmlns="http://schemas.openxmlformats.org/spreadsheetml/2006/main" id="52" name="Tabelle2853" displayName="Tabelle2853" ref="A4:D10" totalsRowCount="1" headerRowDxfId="646" headerRowBorderDxfId="645" tableBorderDxfId="644" totalsRowBorderDxfId="643">
  <autoFilter ref="A4:D9"/>
  <tableColumns count="4">
    <tableColumn id="1" name="Nr." totalsRowLabel="Gesamt" totalsRowDxfId="642"/>
    <tableColumn id="2" name="Betrag" totalsRowFunction="sum" dataDxfId="641" totalsRowDxfId="640"/>
    <tableColumn id="3" name="Was?" dataDxfId="639" totalsRowDxfId="638"/>
    <tableColumn id="4" name="Begründung" totalsRowFunction="count" dataDxfId="637" totalsRowDxfId="636"/>
  </tableColumns>
  <tableStyleInfo name="TableStyleLight11" showFirstColumn="0" showLastColumn="0" showRowStripes="1" showColumnStripes="0"/>
</table>
</file>

<file path=xl/tables/table13.xml><?xml version="1.0" encoding="utf-8"?>
<table xmlns="http://schemas.openxmlformats.org/spreadsheetml/2006/main" id="55" name="Tabelle211121656" displayName="Tabelle211121656" ref="A22:D28" totalsRowCount="1" headerRowDxfId="635" headerRowBorderDxfId="634" tableBorderDxfId="633" totalsRowBorderDxfId="632">
  <autoFilter ref="A22:D27"/>
  <tableColumns count="4">
    <tableColumn id="1" name="Nr." totalsRowLabel="Gesamt" totalsRowDxfId="631"/>
    <tableColumn id="2" name="Betrag" totalsRowFunction="sum" dataDxfId="630" totalsRowDxfId="629"/>
    <tableColumn id="3" name="Was?" dataDxfId="628" totalsRowDxfId="627"/>
    <tableColumn id="4" name="Begründung" totalsRowFunction="count" dataDxfId="626" totalsRowDxfId="625"/>
  </tableColumns>
  <tableStyleInfo name="TableStyleLight11" showFirstColumn="0" showLastColumn="0" showRowStripes="1" showColumnStripes="0"/>
</table>
</file>

<file path=xl/tables/table14.xml><?xml version="1.0" encoding="utf-8"?>
<table xmlns="http://schemas.openxmlformats.org/spreadsheetml/2006/main" id="56" name="Tabelle211123957" displayName="Tabelle211123957" ref="A32:D37" totalsRowCount="1" headerRowDxfId="624" headerRowBorderDxfId="623" tableBorderDxfId="622" totalsRowBorderDxfId="621">
  <autoFilter ref="A32:D36"/>
  <tableColumns count="4">
    <tableColumn id="1" name="Nr." totalsRowLabel="Gesamt" totalsRowDxfId="620"/>
    <tableColumn id="2" name="Betrag" totalsRowFunction="sum" dataDxfId="619" totalsRowDxfId="618"/>
    <tableColumn id="3" name="Was?" dataDxfId="617" totalsRowDxfId="616"/>
    <tableColumn id="4" name="Begründung" totalsRowFunction="count" dataDxfId="615" totalsRowDxfId="614"/>
  </tableColumns>
  <tableStyleInfo name="TableStyleLight11" showFirstColumn="0" showLastColumn="0" showRowStripes="1" showColumnStripes="0"/>
</table>
</file>

<file path=xl/tables/table15.xml><?xml version="1.0" encoding="utf-8"?>
<table xmlns="http://schemas.openxmlformats.org/spreadsheetml/2006/main" id="8" name="Tabelle8" displayName="Tabelle8" ref="A7:R125" totalsRowCount="1" headerRowDxfId="613" dataDxfId="612" tableBorderDxfId="611">
  <autoFilter ref="A7:R124"/>
  <tableColumns count="18">
    <tableColumn id="1" name="Referat" totalsRowLabel="Gesamt:" dataDxfId="610" totalsRowDxfId="609"/>
    <tableColumn id="2" name="Honorare Dozierende" totalsRowFunction="custom" dataDxfId="608" totalsRowDxfId="607">
      <totalsRowFormula>SUBTOTAL(9,Tabelle8[Honorare Dozierende])</totalsRowFormula>
    </tableColumn>
    <tableColumn id="3" name="Andere Honorare" totalsRowFunction="custom" dataDxfId="606" totalsRowDxfId="605">
      <totalsRowFormula>SUBTOTAL(9,Tabelle8[Andere Honorare])</totalsRowFormula>
    </tableColumn>
    <tableColumn id="4" name="Interne Reisekosten" totalsRowFunction="custom" dataDxfId="604" totalsRowDxfId="603">
      <totalsRowFormula>SUBTOTAL(9,Tabelle8[Interne Reisekosten])</totalsRowFormula>
    </tableColumn>
    <tableColumn id="5" name="Externe Reisekosten" totalsRowFunction="custom" dataDxfId="602" totalsRowDxfId="601">
      <totalsRowFormula>SUBTOTAL(9,Tabelle8[Externe Reisekosten])</totalsRowFormula>
    </tableColumn>
    <tableColumn id="17" name="Bewirtung/Repräsentation int." totalsRowFunction="custom" dataDxfId="600" totalsRowDxfId="599">
      <totalsRowFormula>SUBTOTAL(9,Tabelle8[Bewirtung/Repräsentation int.])</totalsRowFormula>
    </tableColumn>
    <tableColumn id="7" name="Bewirtung/Repräsentation ext." totalsRowFunction="custom" dataDxfId="598" totalsRowDxfId="597">
      <totalsRowFormula>SUBTOTAL(9,Tabelle8[Bewirtung/Repräsentation ext.])</totalsRowFormula>
    </tableColumn>
    <tableColumn id="18" name="Raum- und Unterkunftskosten int." totalsRowFunction="custom" dataDxfId="596" totalsRowDxfId="595">
      <totalsRowFormula>SUBTOTAL(9,Tabelle8[Raum- und Unterkunftskosten int.])</totalsRowFormula>
    </tableColumn>
    <tableColumn id="8" name="Raum- und Unterkunftskosten ext." totalsRowFunction="custom" dataDxfId="594" totalsRowDxfId="593">
      <totalsRowFormula>SUBTOTAL(9,Tabelle8[Raum- und Unterkunftskosten ext.])</totalsRowFormula>
    </tableColumn>
    <tableColumn id="9" name="Druckkosten" totalsRowFunction="custom" dataDxfId="592" totalsRowDxfId="591">
      <totalsRowFormula>SUBTOTAL(9,Tabelle8[Druckkosten])</totalsRowFormula>
    </tableColumn>
    <tableColumn id="10" name="Sonstige Ausgaben" totalsRowFunction="custom" dataDxfId="590" totalsRowDxfId="589">
      <totalsRowFormula>SUBTOTAL(9,Tabelle8[Sonstige Ausgaben])</totalsRowFormula>
    </tableColumn>
    <tableColumn id="19" name="IT-Dienstleistungen" totalsRowFunction="custom" dataDxfId="588" totalsRowDxfId="587">
      <totalsRowFormula>SUBTOTAL(9,Tabelle8[IT-Dienstleistungen])</totalsRowFormula>
    </tableColumn>
    <tableColumn id="11" name="Ausgaben Gesamt" dataDxfId="586" totalsRowDxfId="585">
      <calculatedColumnFormula>SUM(B8:K8)</calculatedColumnFormula>
    </tableColumn>
    <tableColumn id="12" name="Teilnahmebeiträge Seminare" totalsRowFunction="custom" dataDxfId="584" totalsRowDxfId="583">
      <totalsRowFormula>SUBTOTAL(9,Tabelle8[Teilnahmebeiträge Seminare])</totalsRowFormula>
    </tableColumn>
    <tableColumn id="13" name="Teilnahmebeiträge Veranstaltungen" totalsRowFunction="custom" dataDxfId="582" totalsRowDxfId="581">
      <totalsRowFormula>SUBTOTAL(9,Tabelle8[Teilnahmebeiträge Veranstaltungen])</totalsRowFormula>
    </tableColumn>
    <tableColumn id="14" name="Bewirtung Veranst." totalsRowFunction="custom" dataDxfId="580" totalsRowDxfId="579">
      <totalsRowFormula>SUBTOTAL(9,Tabelle8[Bewirtung Veranst.])</totalsRowFormula>
    </tableColumn>
    <tableColumn id="15" name="Förderungen" totalsRowFunction="custom" dataDxfId="578" totalsRowDxfId="577">
      <totalsRowFormula>SUBTOTAL(9,Tabelle8[Förderungen])</totalsRowFormula>
    </tableColumn>
    <tableColumn id="16" name="Einnahmen Gesamt" totalsRowFunction="custom" dataDxfId="576" totalsRowDxfId="575">
      <totalsRowFormula>SUBTOTAL(9,Tabelle8[Einnahmen Gesamt])</totalsRowFormula>
    </tableColumn>
  </tableColumns>
  <tableStyleInfo name="TableStyleLight11" showFirstColumn="0" showLastColumn="0" showRowStripes="1" showColumnStripes="0"/>
</table>
</file>

<file path=xl/tables/table16.xml><?xml version="1.0" encoding="utf-8"?>
<table xmlns="http://schemas.openxmlformats.org/spreadsheetml/2006/main" id="13" name="Tabelle13" displayName="Tabelle13" ref="A129:D145" totalsRowCount="1" headerRowDxfId="574" dataDxfId="572" headerRowBorderDxfId="573" tableBorderDxfId="571" totalsRowBorderDxfId="570">
  <autoFilter ref="A129:D144"/>
  <tableColumns count="4">
    <tableColumn id="1" name="Zuschüsse" totalsRowLabel="Gesamt:  " dataDxfId="569" totalsRowDxfId="233"/>
    <tableColumn id="2" name="Honorare Doz. Lerngruppen" totalsRowFunction="custom" dataDxfId="568" totalsRowDxfId="232" dataCellStyle="Link">
      <totalsRowFormula>SUBTOTAL(9,Tabelle13[Honorare Doz. Lerngruppen])</totalsRowFormula>
    </tableColumn>
    <tableColumn id="3" name="Honorare Seminare Campus" totalsRowFunction="custom" dataDxfId="567" totalsRowDxfId="231">
      <totalsRowFormula>SUBTOTAL(9,Tabelle13[Honorare Seminare Campus])</totalsRowFormula>
    </tableColumn>
    <tableColumn id="4" name="Bewirtung/Repräsentation ext." totalsRowFunction="custom" dataDxfId="566" totalsRowDxfId="230">
      <totalsRowFormula>SUBTOTAL(9,Tabelle13[Bewirtung/Repräsentation ext.])</totalsRowFormula>
    </tableColumn>
  </tableColumns>
  <tableStyleInfo name="TableStyleLight11" showFirstColumn="0" showLastColumn="0" showRowStripes="1" showColumnStripes="0"/>
</table>
</file>

<file path=xl/tables/table17.xml><?xml version="1.0" encoding="utf-8"?>
<table xmlns="http://schemas.openxmlformats.org/spreadsheetml/2006/main" id="3" name="Tabelle3" displayName="Tabelle3" ref="A4:F11" totalsRowShown="0" headerRowDxfId="565" dataDxfId="563" headerRowBorderDxfId="564" tableBorderDxfId="562" totalsRowBorderDxfId="561">
  <autoFilter ref="A4:F11"/>
  <tableColumns count="6">
    <tableColumn id="1" name="Vertrag Nr." dataDxfId="560"/>
    <tableColumn id="2" name="Vertragsinhalt*" dataDxfId="559"/>
    <tableColumn id="3" name="Vertragspartner" dataDxfId="558"/>
    <tableColumn id="4" name="Beträge/Budget" dataDxfId="557"/>
    <tableColumn id="6" name="Titel" dataDxfId="556"/>
    <tableColumn id="5" name="Laufzeit" dataDxfId="555"/>
  </tableColumns>
  <tableStyleInfo name="TableStyleLight20" showFirstColumn="0" showLastColumn="0" showRowStripes="1" showColumnStripes="0"/>
</table>
</file>

<file path=xl/tables/table18.xml><?xml version="1.0" encoding="utf-8"?>
<table xmlns="http://schemas.openxmlformats.org/spreadsheetml/2006/main" id="57" name="Tabelle358" displayName="Tabelle358" ref="A15:F23" totalsRowShown="0" headerRowDxfId="554" dataDxfId="552" headerRowBorderDxfId="553" tableBorderDxfId="551" totalsRowBorderDxfId="550">
  <autoFilter ref="A15:F23"/>
  <tableColumns count="6">
    <tableColumn id="1" name="Vertrag Nr." dataDxfId="549"/>
    <tableColumn id="2" name="Vertragsinhalt*" dataDxfId="548"/>
    <tableColumn id="3" name="Vertragspartner" dataDxfId="547"/>
    <tableColumn id="4" name="Beträge/Budget" dataDxfId="546"/>
    <tableColumn id="6" name="Titel" dataDxfId="545"/>
    <tableColumn id="5" name="Laufzeit" dataDxfId="544"/>
  </tableColumns>
  <tableStyleInfo name="TableStyleLight20" showFirstColumn="0" showLastColumn="0" showRowStripes="1" showColumnStripes="0"/>
</table>
</file>

<file path=xl/tables/table19.xml><?xml version="1.0" encoding="utf-8"?>
<table xmlns="http://schemas.openxmlformats.org/spreadsheetml/2006/main" id="10" name="Tabelle35811" displayName="Tabelle35811" ref="A27:F34" totalsRowShown="0" headerRowDxfId="543" dataDxfId="541" headerRowBorderDxfId="542" tableBorderDxfId="540" totalsRowBorderDxfId="539">
  <autoFilter ref="A27:F34"/>
  <tableColumns count="6">
    <tableColumn id="1" name="Vertrag Nr." dataDxfId="538"/>
    <tableColumn id="2" name="Vertragsinhalt*" dataDxfId="537"/>
    <tableColumn id="3" name="Vertragspartner" dataDxfId="536"/>
    <tableColumn id="4" name="Beträge/Budget" dataDxfId="535"/>
    <tableColumn id="6" name="Titel" dataDxfId="534"/>
    <tableColumn id="5" name="Laufzeit" dataDxfId="533"/>
  </tableColumns>
  <tableStyleInfo name="TableStyleLight20" showFirstColumn="0" showLastColumn="0" showRowStripes="1" showColumnStripes="0"/>
</table>
</file>

<file path=xl/tables/table2.xml><?xml version="1.0" encoding="utf-8"?>
<table xmlns="http://schemas.openxmlformats.org/spreadsheetml/2006/main" id="19" name="Tabelle19" displayName="Tabelle19" ref="A3:C15" totalsRowCount="1" headerRowDxfId="753" tableBorderDxfId="752">
  <autoFilter ref="A3:C14"/>
  <tableColumns count="3">
    <tableColumn id="1" name="Empfänger" totalsRowLabel="Ergebnis" totalsRowDxfId="751"/>
    <tableColumn id="2" name="Art" totalsRowDxfId="750"/>
    <tableColumn id="3" name="Höhe p.A." totalsRowFunction="sum" dataDxfId="749" totalsRowDxfId="748"/>
  </tableColumns>
  <tableStyleInfo name="TableStyleLight17" showFirstColumn="0" showLastColumn="0" showRowStripes="1" showColumnStripes="0"/>
</table>
</file>

<file path=xl/tables/table20.xml><?xml version="1.0" encoding="utf-8"?>
<table xmlns="http://schemas.openxmlformats.org/spreadsheetml/2006/main" id="37" name="Tabelle4" displayName="Tabelle4" ref="A35:L45" totalsRowCount="1" headerRowDxfId="532" dataDxfId="531" totalsRowDxfId="530">
  <autoFilter ref="A35:L44"/>
  <tableColumns count="12">
    <tableColumn id="13" name="Lfd. Nr." dataDxfId="529" totalsRowDxfId="220">
      <calculatedColumnFormula>ROW(A1)</calculatedColumnFormula>
    </tableColumn>
    <tableColumn id="1" name="Beschreibung/ Kurzbezeichnung" totalsRowLabel="Gesamt:  " dataDxfId="528" totalsRowDxfId="219"/>
    <tableColumn id="2" name="Teilnahmebeiträge Fachseminare" totalsRowFunction="custom" dataDxfId="527" totalsRowDxfId="218">
      <totalsRowFormula>SUBTOTAL(9,Tabelle4[Teilnahmebeiträge Fachseminare])</totalsRowFormula>
    </tableColumn>
    <tableColumn id="3" name="Teilnahmebeiträge Veranstaltungen" totalsRowFunction="custom" dataDxfId="526" totalsRowDxfId="217">
      <totalsRowFormula>SUBTOTAL(9,Tabelle4[Teilnahmebeiträge Veranstaltungen])</totalsRowFormula>
    </tableColumn>
    <tableColumn id="4" name="Sonstige Einnahmen" totalsRowFunction="custom" dataDxfId="525" totalsRowDxfId="216">
      <totalsRowFormula>SUBTOTAL(9,Tabelle4[Sonstige Einnahmen])</totalsRowFormula>
    </tableColumn>
    <tableColumn id="5" name="Honorare Dozierende Fachseminare" totalsRowFunction="custom" dataDxfId="524" totalsRowDxfId="215">
      <totalsRowFormula>SUBTOTAL(9,Tabelle4[Honorare Dozierende Fachseminare])</totalsRowFormula>
    </tableColumn>
    <tableColumn id="6" name="Aufwandsentschädigungen" totalsRowFunction="custom" dataDxfId="523" totalsRowDxfId="214">
      <totalsRowFormula>SUBTOTAL(9,Tabelle4[Aufwandsentschädigungen])</totalsRowFormula>
    </tableColumn>
    <tableColumn id="7" name="Externe Reisekosten" totalsRowFunction="custom" dataDxfId="522" totalsRowDxfId="213">
      <totalsRowFormula>SUBTOTAL(9,Tabelle4[Externe Reisekosten])</totalsRowFormula>
    </tableColumn>
    <tableColumn id="8" name="Repräsentation/Bewirtung extern" totalsRowFunction="custom" dataDxfId="521" totalsRowDxfId="212">
      <totalsRowFormula>SUBTOTAL(9,Tabelle4[Repräsentation/Bewirtung extern])</totalsRowFormula>
    </tableColumn>
    <tableColumn id="9" name="Raum + Unterkunft extern" totalsRowFunction="custom" dataDxfId="520" totalsRowDxfId="211">
      <totalsRowFormula>SUBTOTAL(9,Tabelle4[Raum + Unterkunft extern])</totalsRowFormula>
    </tableColumn>
    <tableColumn id="10" name="Verwaltungs- und Druckkosten" totalsRowFunction="custom" dataDxfId="519" totalsRowDxfId="210">
      <totalsRowFormula>SUBTOTAL(9,Tabelle4[Verwaltungs- und Druckkosten])</totalsRowFormula>
    </tableColumn>
    <tableColumn id="11" name="Gesamt" totalsRowFunction="custom" dataDxfId="518" totalsRowDxfId="209">
      <calculatedColumnFormula>SUM(C36:E36)-SUM(F36:K36)</calculatedColumnFormula>
      <totalsRowFormula>SUBTOTAL(9,Tabelle4[Gesamt])</totalsRowFormula>
    </tableColumn>
  </tableColumns>
  <tableStyleInfo name="TableStyleLight19" showFirstColumn="0" showLastColumn="0" showRowStripes="1" showColumnStripes="0"/>
</table>
</file>

<file path=xl/tables/table21.xml><?xml version="1.0" encoding="utf-8"?>
<table xmlns="http://schemas.openxmlformats.org/spreadsheetml/2006/main" id="39" name="Tabelle5" displayName="Tabelle5" ref="A50:O62" totalsRowCount="1" headerRowDxfId="517" dataDxfId="516" totalsRowDxfId="515">
  <autoFilter ref="A50:O61"/>
  <tableColumns count="15">
    <tableColumn id="14" name="Lfd. Nr." dataDxfId="514" totalsRowDxfId="208">
      <calculatedColumnFormula>ROW(A1)</calculatedColumnFormula>
    </tableColumn>
    <tableColumn id="1" name="Beschreibung" totalsRowLabel="Gesamt:  " dataDxfId="513" totalsRowDxfId="207"/>
    <tableColumn id="2" name="Teilnahmebeiträge Veranstaltungen" totalsRowFunction="custom" dataDxfId="512" totalsRowDxfId="206">
      <totalsRowFormula>SUBTOTAL(9,Tabelle5[Teilnahmebeiträge Veranstaltungen])</totalsRowFormula>
    </tableColumn>
    <tableColumn id="3" name="Sonstige Einnahmen" totalsRowFunction="custom" dataDxfId="511" totalsRowDxfId="205">
      <totalsRowFormula>SUBTOTAL(9,Tabelle5[Sonstige Einnahmen])</totalsRowFormula>
    </tableColumn>
    <tableColumn id="4" name="Aufwandsentschädigungen" totalsRowFunction="custom" dataDxfId="510" totalsRowDxfId="204">
      <totalsRowFormula>SUBTOTAL(9,Tabelle5[Aufwandsentschädigungen])</totalsRowFormula>
    </tableColumn>
    <tableColumn id="5" name="Interne Reisekosten" totalsRowFunction="custom" dataDxfId="509" totalsRowDxfId="203">
      <totalsRowFormula>SUBTOTAL(9,Tabelle5[Interne Reisekosten])</totalsRowFormula>
    </tableColumn>
    <tableColumn id="6" name="Raum + Unterkunft intern" totalsRowFunction="custom" dataDxfId="508" totalsRowDxfId="202">
      <totalsRowFormula>SUBTOTAL(9,Tabelle5[Raum + Unterkunft intern])</totalsRowFormula>
    </tableColumn>
    <tableColumn id="7" name="Repräsentation/Bewirtung intern" totalsRowFunction="custom" dataDxfId="507" totalsRowDxfId="201">
      <totalsRowFormula>SUBTOTAL(9,Tabelle5[Repräsentation/Bewirtung intern])</totalsRowFormula>
    </tableColumn>
    <tableColumn id="8" name="Repräsentation/Bewirtung extern" totalsRowFunction="custom" dataDxfId="506" totalsRowDxfId="200">
      <totalsRowFormula>SUBTOTAL(9,Tabelle5[Repräsentation/Bewirtung extern])</totalsRowFormula>
    </tableColumn>
    <tableColumn id="9" name="Raum + Unterkunft extern" totalsRowFunction="custom" dataDxfId="505" totalsRowDxfId="199">
      <totalsRowFormula>SUBTOTAL(9,Tabelle5[Raum + Unterkunft extern])</totalsRowFormula>
    </tableColumn>
    <tableColumn id="10" name="Druckkosten" totalsRowFunction="custom" dataDxfId="504" totalsRowDxfId="198">
      <totalsRowFormula>SUBTOTAL(9,Tabelle5[Druckkosten])</totalsRowFormula>
    </tableColumn>
    <tableColumn id="11" name="Sonstige Kosten" totalsRowFunction="custom" dataDxfId="503" totalsRowDxfId="197">
      <totalsRowFormula>SUBTOTAL(9,Tabelle5[Sonstige Kosten])</totalsRowFormula>
    </tableColumn>
    <tableColumn id="12" name="Rechtsangelegenheiten" totalsRowFunction="custom" dataDxfId="502" totalsRowDxfId="196">
      <totalsRowFormula>SUBTOTAL(9,Tabelle5[Rechtsangelegenheiten])</totalsRowFormula>
    </tableColumn>
    <tableColumn id="16" name="Andere Honorare" totalsRowFunction="sum" dataDxfId="501" totalsRowDxfId="195"/>
    <tableColumn id="13" name="Gesamt" totalsRowFunction="custom" dataDxfId="500" totalsRowDxfId="194">
      <calculatedColumnFormula>SUM(C51+D51)-SUM(E51:M51)</calculatedColumnFormula>
      <totalsRowFormula>SUBTOTAL(9,Tabelle5[Gesamt])</totalsRowFormula>
    </tableColumn>
  </tableColumns>
  <tableStyleInfo name="TableStyleLight16" showFirstColumn="0" showLastColumn="0" showRowStripes="1" showColumnStripes="0"/>
</table>
</file>

<file path=xl/tables/table22.xml><?xml version="1.0" encoding="utf-8"?>
<table xmlns="http://schemas.openxmlformats.org/spreadsheetml/2006/main" id="40" name="Tabelle6" displayName="Tabelle6" ref="A67:I85" totalsRowCount="1" headerRowDxfId="499" dataDxfId="498" totalsRowDxfId="497" dataCellStyle="Link">
  <autoFilter ref="A67:I84"/>
  <tableColumns count="9">
    <tableColumn id="1" name="Lfd. Nr. " dataDxfId="496" totalsRowDxfId="229">
      <calculatedColumnFormula>ROW(A1)</calculatedColumnFormula>
    </tableColumn>
    <tableColumn id="8" name="Sitzung/Tätigkeit" dataDxfId="495" totalsRowDxfId="228"/>
    <tableColumn id="9" name="Ort oder Datum (falls bekannt)" dataDxfId="494" totalsRowDxfId="227"/>
    <tableColumn id="7" name="Art" totalsRowLabel="Gesamt:  " dataDxfId="493" totalsRowDxfId="226"/>
    <tableColumn id="2" name="Aufwandsentschädigungen" totalsRowFunction="custom" dataDxfId="492" totalsRowDxfId="225" dataCellStyle="Link">
      <totalsRowFormula>SUBTOTAL(9,Tabelle6[Aufwandsentschädigungen])</totalsRowFormula>
    </tableColumn>
    <tableColumn id="3" name="Interne Reisekosten" totalsRowFunction="custom" dataDxfId="491" totalsRowDxfId="224" dataCellStyle="Link">
      <totalsRowFormula>SUBTOTAL(9,Tabelle6[Interne Reisekosten])</totalsRowFormula>
    </tableColumn>
    <tableColumn id="4" name="Raum + Unterkunft intern" totalsRowFunction="custom" dataDxfId="490" totalsRowDxfId="223" dataCellStyle="Link">
      <totalsRowFormula>SUBTOTAL(9,Tabelle6[Raum + Unterkunft intern])</totalsRowFormula>
    </tableColumn>
    <tableColumn id="5" name="Repräsentation/Bewirtung intern" totalsRowFunction="custom" dataDxfId="489" totalsRowDxfId="222" dataCellStyle="Link">
      <totalsRowFormula>SUBTOTAL(9,Tabelle6[Repräsentation/Bewirtung intern])</totalsRowFormula>
    </tableColumn>
    <tableColumn id="6" name="Gesamt" totalsRowFunction="custom" dataDxfId="488" totalsRowDxfId="221">
      <totalsRowFormula>SUBTOTAL(9,Tabelle6[Gesamt])</totalsRowFormula>
    </tableColumn>
  </tableColumns>
  <tableStyleInfo name="TableStyleLight21" showFirstColumn="0" showLastColumn="0" showRowStripes="1" showColumnStripes="0"/>
</table>
</file>

<file path=xl/tables/table23.xml><?xml version="1.0" encoding="utf-8"?>
<table xmlns="http://schemas.openxmlformats.org/spreadsheetml/2006/main" id="41" name="Tabelle18" displayName="Tabelle18" ref="A3:J23" totalsRowCount="1" headerRowDxfId="487" dataDxfId="486" totalsRowDxfId="484" tableBorderDxfId="485">
  <autoFilter ref="A3:J22"/>
  <tableColumns count="10">
    <tableColumn id="1" name="Titel" dataDxfId="483" totalsRowDxfId="193"/>
    <tableColumn id="2" name="Kontenbezeichnung" dataDxfId="482" totalsRowDxfId="192"/>
    <tableColumn id="3" name="-" dataDxfId="481" totalsRowDxfId="191"/>
    <tableColumn id="4" name="Erläuterung" totalsRowLabel="Gesamt:" dataDxfId="480" totalsRowDxfId="190"/>
    <tableColumn id="19" name="Freie Eingabe Plan HHJ 22-23" totalsRowFunction="custom" dataDxfId="479" totalsRowDxfId="189">
      <totalsRowFormula>SUBTOTAL(109,E10:E22)</totalsRowFormula>
    </tableColumn>
    <tableColumn id="17" name="Rechnung HHJ 22-23" totalsRowFunction="custom" dataDxfId="478" totalsRowDxfId="188" dataCellStyle="Link">
      <totalsRowFormula>SUBTOTAL(109,F10:F22)</totalsRowFormula>
    </tableColumn>
    <tableColumn id="5" name="Freie Eingabe Plan HHJ 21-22" totalsRowFunction="custom" dataDxfId="477" totalsRowDxfId="187">
      <totalsRowFormula>SUBTOTAL(109,G10:G22)</totalsRowFormula>
    </tableColumn>
    <tableColumn id="7" name="IST HHJ 21-22" dataDxfId="476" totalsRowDxfId="186"/>
    <tableColumn id="8" name="Abschluss 20-21" dataDxfId="475" totalsRowDxfId="185"/>
    <tableColumn id="9" name="Plan HHJ 20-21" dataDxfId="474" totalsRowDxfId="184"/>
  </tableColumns>
  <tableStyleInfo name="TableStyleLight1" showFirstColumn="0" showLastColumn="0" showRowStripes="1" showColumnStripes="0"/>
</table>
</file>

<file path=xl/tables/table24.xml><?xml version="1.0" encoding="utf-8"?>
<table xmlns="http://schemas.openxmlformats.org/spreadsheetml/2006/main" id="9" name="Tabelle410" displayName="Tabelle410" ref="A35:L58" totalsRowCount="1" headerRowDxfId="473" dataDxfId="472" totalsRowDxfId="471">
  <autoFilter ref="A35:L57"/>
  <tableColumns count="12">
    <tableColumn id="13" name="Lfd. Nr." dataDxfId="470" totalsRowDxfId="174">
      <calculatedColumnFormula>ROW(A1)</calculatedColumnFormula>
    </tableColumn>
    <tableColumn id="1" name="Beschreibung/ Kurzbezeichnung" totalsRowLabel="Gesamt:  " dataDxfId="469" totalsRowDxfId="173"/>
    <tableColumn id="2" name="Teilnahmebeiträge Fachseminare" totalsRowFunction="custom" dataDxfId="468" totalsRowDxfId="172">
      <totalsRowFormula>SUBTOTAL(9,Tabelle410[Teilnahmebeiträge Fachseminare])</totalsRowFormula>
    </tableColumn>
    <tableColumn id="3" name="Teilnahmebeiträge Veranstaltungen" totalsRowFunction="custom" dataDxfId="467" totalsRowDxfId="171">
      <totalsRowFormula>SUBTOTAL(9,Tabelle410[Teilnahmebeiträge Veranstaltungen])</totalsRowFormula>
    </tableColumn>
    <tableColumn id="4" name="Sonstige Einnahmen" totalsRowFunction="custom" dataDxfId="466" totalsRowDxfId="170">
      <totalsRowFormula>SUBTOTAL(9,Tabelle410[Sonstige Einnahmen])</totalsRowFormula>
    </tableColumn>
    <tableColumn id="5" name="Honorare Dozierende Fachseminare" totalsRowFunction="custom" dataDxfId="465" totalsRowDxfId="169">
      <totalsRowFormula>SUBTOTAL(9,Tabelle410[Honorare Dozierende Fachseminare])</totalsRowFormula>
    </tableColumn>
    <tableColumn id="6" name="Aufwandsentschädigungen" totalsRowFunction="custom" dataDxfId="464" totalsRowDxfId="168">
      <totalsRowFormula>SUBTOTAL(9,Tabelle410[Aufwandsentschädigungen])</totalsRowFormula>
    </tableColumn>
    <tableColumn id="7" name="Externe Reisekosten" totalsRowFunction="custom" dataDxfId="463" totalsRowDxfId="167">
      <totalsRowFormula>SUBTOTAL(9,Tabelle410[Externe Reisekosten])</totalsRowFormula>
    </tableColumn>
    <tableColumn id="8" name="Repräsentation/Bewirtung extern" totalsRowFunction="custom" dataDxfId="462" totalsRowDxfId="166">
      <totalsRowFormula>SUBTOTAL(9,Tabelle410[Repräsentation/Bewirtung extern])</totalsRowFormula>
    </tableColumn>
    <tableColumn id="9" name="Raum + Unterkunft extern" totalsRowFunction="custom" dataDxfId="461" totalsRowDxfId="165">
      <totalsRowFormula>SUBTOTAL(9,Tabelle410[Raum + Unterkunft extern])</totalsRowFormula>
    </tableColumn>
    <tableColumn id="10" name="Verwaltungs- und Druckkosten" totalsRowFunction="custom" dataDxfId="460" totalsRowDxfId="164">
      <totalsRowFormula>SUBTOTAL(9,Tabelle410[Verwaltungs- und Druckkosten])</totalsRowFormula>
    </tableColumn>
    <tableColumn id="11" name="Gesamt" totalsRowFunction="custom" dataDxfId="459" totalsRowDxfId="163">
      <totalsRowFormula>SUBTOTAL(9,Tabelle410[Gesamt])</totalsRowFormula>
    </tableColumn>
  </tableColumns>
  <tableStyleInfo name="TableStyleLight19" showFirstColumn="0" showLastColumn="0" showRowStripes="1" showColumnStripes="0"/>
</table>
</file>

<file path=xl/tables/table25.xml><?xml version="1.0" encoding="utf-8"?>
<table xmlns="http://schemas.openxmlformats.org/spreadsheetml/2006/main" id="12" name="Tabelle513" displayName="Tabelle513" ref="A63:O76" totalsRowCount="1" headerRowDxfId="458" dataDxfId="457" totalsRowDxfId="456">
  <autoFilter ref="A63:O75"/>
  <tableColumns count="15">
    <tableColumn id="14" name="Lfd. Nr." dataDxfId="455" totalsRowDxfId="162">
      <calculatedColumnFormula>ROW(A1)</calculatedColumnFormula>
    </tableColumn>
    <tableColumn id="1" name="Beschreibung" totalsRowLabel="Gesamt:  " dataDxfId="454" totalsRowDxfId="161"/>
    <tableColumn id="2" name="Teilnahmebeiträge Veranstaltungen" totalsRowFunction="custom" dataDxfId="453" totalsRowDxfId="160">
      <totalsRowFormula>SUBTOTAL(9,Tabelle513[Teilnahmebeiträge Veranstaltungen])</totalsRowFormula>
    </tableColumn>
    <tableColumn id="3" name="Sonstige Einnahmen" totalsRowFunction="custom" dataDxfId="452" totalsRowDxfId="159">
      <totalsRowFormula>SUBTOTAL(9,Tabelle513[Sonstige Einnahmen])</totalsRowFormula>
    </tableColumn>
    <tableColumn id="4" name="Aufwandsentschädigungen" totalsRowFunction="custom" dataDxfId="451" totalsRowDxfId="158">
      <totalsRowFormula>SUBTOTAL(9,Tabelle513[Aufwandsentschädigungen])</totalsRowFormula>
    </tableColumn>
    <tableColumn id="5" name="Interne Reisekosten" totalsRowFunction="custom" dataDxfId="450" totalsRowDxfId="157">
      <totalsRowFormula>SUBTOTAL(9,Tabelle513[Interne Reisekosten])</totalsRowFormula>
    </tableColumn>
    <tableColumn id="6" name="Raum + Unterkunft intern" totalsRowFunction="custom" dataDxfId="449" totalsRowDxfId="156">
      <totalsRowFormula>SUBTOTAL(9,Tabelle513[Raum + Unterkunft intern])</totalsRowFormula>
    </tableColumn>
    <tableColumn id="7" name="Repräsentation/Bewirtung intern" totalsRowFunction="custom" dataDxfId="448" totalsRowDxfId="155">
      <totalsRowFormula>SUBTOTAL(9,Tabelle513[Repräsentation/Bewirtung intern])</totalsRowFormula>
    </tableColumn>
    <tableColumn id="8" name="Repräsentation/Bewirtung extern" totalsRowFunction="custom" dataDxfId="447" totalsRowDxfId="154">
      <totalsRowFormula>SUBTOTAL(9,Tabelle513[Repräsentation/Bewirtung extern])</totalsRowFormula>
    </tableColumn>
    <tableColumn id="9" name="Raum + Unterkunft extern" totalsRowFunction="custom" dataDxfId="446" totalsRowDxfId="153">
      <totalsRowFormula>SUBTOTAL(9,Tabelle513[Raum + Unterkunft extern])</totalsRowFormula>
    </tableColumn>
    <tableColumn id="10" name="Druckkosten" totalsRowFunction="custom" dataDxfId="445" totalsRowDxfId="152">
      <totalsRowFormula>SUBTOTAL(9,Tabelle513[Druckkosten])</totalsRowFormula>
    </tableColumn>
    <tableColumn id="11" name="Sonstige Kosten" totalsRowFunction="custom" dataDxfId="444" totalsRowDxfId="151">
      <totalsRowFormula>SUBTOTAL(9,Tabelle513[Sonstige Kosten])</totalsRowFormula>
    </tableColumn>
    <tableColumn id="12" name="Rechtsangelegenheiten" totalsRowFunction="custom" dataDxfId="443" totalsRowDxfId="150">
      <totalsRowFormula>SUBTOTAL(9,Tabelle513[Rechtsangelegenheiten])</totalsRowFormula>
    </tableColumn>
    <tableColumn id="15" name="Andere Honorare" totalsRowFunction="sum" dataDxfId="442" totalsRowDxfId="149"/>
    <tableColumn id="13" name="Gesamt" totalsRowFunction="custom" dataDxfId="441" totalsRowDxfId="148">
      <calculatedColumnFormula>SUM(C64:D64)-SUM(F64:N64)</calculatedColumnFormula>
      <totalsRowFormula>SUBTOTAL(9,Tabelle513[Gesamt])</totalsRowFormula>
    </tableColumn>
  </tableColumns>
  <tableStyleInfo name="TableStyleLight16" showFirstColumn="0" showLastColumn="0" showRowStripes="1" showColumnStripes="0"/>
</table>
</file>

<file path=xl/tables/table26.xml><?xml version="1.0" encoding="utf-8"?>
<table xmlns="http://schemas.openxmlformats.org/spreadsheetml/2006/main" id="14" name="Tabelle615" displayName="Tabelle615" ref="A81:I93" totalsRowCount="1" headerRowDxfId="440" dataDxfId="439" totalsRowDxfId="438" dataCellStyle="Link">
  <autoFilter ref="A81:I92"/>
  <tableColumns count="9">
    <tableColumn id="1" name="Lfd. Nr. " dataDxfId="437" totalsRowDxfId="183">
      <calculatedColumnFormula>ROW(A1)</calculatedColumnFormula>
    </tableColumn>
    <tableColumn id="8" name="Sitzung/Tätigkeit" dataDxfId="436" totalsRowDxfId="182"/>
    <tableColumn id="9" name="Ort oder Datum (falls bekannt)" dataDxfId="435" totalsRowDxfId="181"/>
    <tableColumn id="7" name="Art" totalsRowLabel="Gesamt:  " dataDxfId="434" totalsRowDxfId="180"/>
    <tableColumn id="2" name="Aufwandsentschädigungen" totalsRowFunction="custom" dataDxfId="433" totalsRowDxfId="179" dataCellStyle="Link">
      <totalsRowFormula>SUBTOTAL(9,Tabelle615[Aufwandsentschädigungen])</totalsRowFormula>
    </tableColumn>
    <tableColumn id="3" name="Interne Reisekosten" totalsRowFunction="custom" dataDxfId="432" totalsRowDxfId="178" dataCellStyle="Link">
      <totalsRowFormula>SUBTOTAL(9,Tabelle615[Interne Reisekosten])</totalsRowFormula>
    </tableColumn>
    <tableColumn id="4" name="Raum + Unterkunft intern" totalsRowFunction="custom" dataDxfId="431" totalsRowDxfId="177" dataCellStyle="Link">
      <totalsRowFormula>SUBTOTAL(9,Tabelle615[Raum + Unterkunft intern])</totalsRowFormula>
    </tableColumn>
    <tableColumn id="5" name="Repräsentation/Bewirtung intern" totalsRowFunction="custom" dataDxfId="430" totalsRowDxfId="176" dataCellStyle="Link">
      <totalsRowFormula>SUBTOTAL(9,Tabelle615[Repräsentation/Bewirtung intern])</totalsRowFormula>
    </tableColumn>
    <tableColumn id="6" name="Gesamt" totalsRowFunction="custom" dataDxfId="429" totalsRowDxfId="175">
      <totalsRowFormula>SUBTOTAL(9,Tabelle615[Gesamt])</totalsRowFormula>
    </tableColumn>
  </tableColumns>
  <tableStyleInfo name="TableStyleLight21" showFirstColumn="0" showLastColumn="0" showRowStripes="1" showColumnStripes="0"/>
</table>
</file>

<file path=xl/tables/table27.xml><?xml version="1.0" encoding="utf-8"?>
<table xmlns="http://schemas.openxmlformats.org/spreadsheetml/2006/main" id="21" name="Tabelle1822" displayName="Tabelle1822" ref="A3:J23" totalsRowCount="1" headerRowDxfId="428" dataDxfId="426" totalsRowDxfId="424" headerRowBorderDxfId="427" tableBorderDxfId="425">
  <autoFilter ref="A3:J22"/>
  <tableColumns count="10">
    <tableColumn id="1" name="Titel" dataDxfId="423" totalsRowDxfId="147"/>
    <tableColumn id="2" name="Kontenbezeichnung" dataDxfId="422" totalsRowDxfId="146"/>
    <tableColumn id="3" name="-" dataDxfId="421" totalsRowDxfId="145"/>
    <tableColumn id="4" name="Erläuterung" totalsRowLabel="Gesamt:" dataDxfId="420" totalsRowDxfId="144"/>
    <tableColumn id="13" name="Freie Eingabe Plan 22-23" totalsRowFunction="custom" dataDxfId="419" totalsRowDxfId="143">
      <totalsRowFormula>SUBTOTAL(109,E10:E22)</totalsRowFormula>
    </tableColumn>
    <tableColumn id="11" name="Rechnung HHJ 22-23" totalsRowFunction="custom" dataDxfId="418" totalsRowDxfId="142">
      <totalsRowFormula>SUBTOTAL(109,F10:F22)</totalsRowFormula>
    </tableColumn>
    <tableColumn id="5" name="Freie Eingabe Plan HHJ 21-22" totalsRowFunction="custom" dataDxfId="417" totalsRowDxfId="141">
      <totalsRowFormula>SUBTOTAL(109,G10:G22)</totalsRowFormula>
    </tableColumn>
    <tableColumn id="7" name="IST HHJ 21-22" dataDxfId="416" totalsRowDxfId="140"/>
    <tableColumn id="8" name="Abschluss 20-21" dataDxfId="415" totalsRowDxfId="139"/>
    <tableColumn id="9" name="Plan HHJ 20-21" dataDxfId="414" totalsRowDxfId="138"/>
  </tableColumns>
  <tableStyleInfo name="TableStyleLight1" showFirstColumn="0" showLastColumn="0" showRowStripes="1" showColumnStripes="0"/>
</table>
</file>

<file path=xl/tables/table28.xml><?xml version="1.0" encoding="utf-8"?>
<table xmlns="http://schemas.openxmlformats.org/spreadsheetml/2006/main" id="22" name="Tabelle41023" displayName="Tabelle41023" ref="A35:L44" totalsRowCount="1" headerRowDxfId="413" dataDxfId="412" totalsRowDxfId="411">
  <autoFilter ref="A35:L43"/>
  <tableColumns count="12">
    <tableColumn id="13" name="Lfd. Nr." dataDxfId="410" totalsRowDxfId="113">
      <calculatedColumnFormula>ROW(A1)</calculatedColumnFormula>
    </tableColumn>
    <tableColumn id="1" name="Beschreibung/ Kurzbezeichnung" totalsRowLabel="Gesamt:  " dataDxfId="409" totalsRowDxfId="112"/>
    <tableColumn id="2" name="Teilnahmebeiträge Fachseminare" totalsRowFunction="custom" dataDxfId="408" totalsRowDxfId="111">
      <totalsRowFormula>SUBTOTAL(9,Tabelle41023[Teilnahmebeiträge Fachseminare])</totalsRowFormula>
    </tableColumn>
    <tableColumn id="3" name="Teilnahmebeiträge Veranstaltungen" totalsRowFunction="custom" dataDxfId="407" totalsRowDxfId="110">
      <totalsRowFormula>SUBTOTAL(9,Tabelle41023[Teilnahmebeiträge Veranstaltungen])</totalsRowFormula>
    </tableColumn>
    <tableColumn id="4" name="Sonstige Einnahmen" totalsRowFunction="custom" dataDxfId="406" totalsRowDxfId="109">
      <totalsRowFormula>SUBTOTAL(9,Tabelle41023[Sonstige Einnahmen])</totalsRowFormula>
    </tableColumn>
    <tableColumn id="5" name="Honorare Dozierende Fachseminare" totalsRowFunction="custom" dataDxfId="405" totalsRowDxfId="108">
      <totalsRowFormula>SUBTOTAL(9,Tabelle41023[Honorare Dozierende Fachseminare])</totalsRowFormula>
    </tableColumn>
    <tableColumn id="6" name="Aufwandsentschädigungen" totalsRowFunction="custom" dataDxfId="404" totalsRowDxfId="107">
      <totalsRowFormula>SUBTOTAL(9,Tabelle41023[Aufwandsentschädigungen])</totalsRowFormula>
    </tableColumn>
    <tableColumn id="7" name="Externe Reisekosten" totalsRowFunction="custom" dataDxfId="403" totalsRowDxfId="106">
      <totalsRowFormula>SUBTOTAL(9,Tabelle41023[Externe Reisekosten])</totalsRowFormula>
    </tableColumn>
    <tableColumn id="8" name="Repräsentation/Bewirtung extern" totalsRowFunction="custom" dataDxfId="402" totalsRowDxfId="105">
      <totalsRowFormula>SUBTOTAL(9,Tabelle41023[Repräsentation/Bewirtung extern])</totalsRowFormula>
    </tableColumn>
    <tableColumn id="9" name="Raum + Unterkunft extern" totalsRowFunction="custom" dataDxfId="401" totalsRowDxfId="104">
      <totalsRowFormula>SUBTOTAL(9,Tabelle41023[Raum + Unterkunft extern])</totalsRowFormula>
    </tableColumn>
    <tableColumn id="10" name="Verwaltungs- und Druckkosten" totalsRowFunction="custom" dataDxfId="400" totalsRowDxfId="103">
      <totalsRowFormula>SUBTOTAL(9,Tabelle41023[Verwaltungs- und Druckkosten])</totalsRowFormula>
    </tableColumn>
    <tableColumn id="11" name="Gesamt" totalsRowFunction="custom" dataDxfId="399" totalsRowDxfId="102">
      <totalsRowFormula>SUBTOTAL(9,Tabelle41023[Gesamt])</totalsRowFormula>
    </tableColumn>
  </tableColumns>
  <tableStyleInfo name="TableStyleLight19" showFirstColumn="0" showLastColumn="0" showRowStripes="1" showColumnStripes="0"/>
</table>
</file>

<file path=xl/tables/table29.xml><?xml version="1.0" encoding="utf-8"?>
<table xmlns="http://schemas.openxmlformats.org/spreadsheetml/2006/main" id="23" name="Tabelle51324" displayName="Tabelle51324" ref="A49:O62" totalsRowCount="1" headerRowDxfId="398" dataDxfId="397" totalsRowDxfId="396">
  <autoFilter ref="A49:O61"/>
  <tableColumns count="15">
    <tableColumn id="14" name="Lfd. Nr." dataDxfId="395" totalsRowDxfId="128">
      <calculatedColumnFormula>ROW(A1)</calculatedColumnFormula>
    </tableColumn>
    <tableColumn id="1" name="Beschreibung" totalsRowLabel="Gesamt:  " dataDxfId="394" totalsRowDxfId="127"/>
    <tableColumn id="2" name="Teilnahmebeiträge Veranstaltungen" totalsRowFunction="custom" dataDxfId="393" totalsRowDxfId="126">
      <totalsRowFormula>SUBTOTAL(9,Tabelle51324[Teilnahmebeiträge Veranstaltungen])</totalsRowFormula>
    </tableColumn>
    <tableColumn id="3" name="Sonstige Einnahmen" totalsRowFunction="custom" dataDxfId="392" totalsRowDxfId="125">
      <totalsRowFormula>SUBTOTAL(9,Tabelle51324[Sonstige Einnahmen])</totalsRowFormula>
    </tableColumn>
    <tableColumn id="4" name="Aufwandsentschädigungen" totalsRowFunction="custom" dataDxfId="391" totalsRowDxfId="124">
      <totalsRowFormula>SUBTOTAL(9,Tabelle51324[Aufwandsentschädigungen])</totalsRowFormula>
    </tableColumn>
    <tableColumn id="5" name="Interne Reisekosten" totalsRowFunction="custom" dataDxfId="390" totalsRowDxfId="123">
      <totalsRowFormula>SUBTOTAL(9,Tabelle51324[Interne Reisekosten])</totalsRowFormula>
    </tableColumn>
    <tableColumn id="6" name="Raum + Unterkunft intern" totalsRowFunction="custom" dataDxfId="389" totalsRowDxfId="122">
      <totalsRowFormula>SUBTOTAL(9,Tabelle51324[Raum + Unterkunft intern])</totalsRowFormula>
    </tableColumn>
    <tableColumn id="7" name="Repräsentation/Bewirtung intern" totalsRowFunction="custom" dataDxfId="388" totalsRowDxfId="121">
      <totalsRowFormula>SUBTOTAL(9,Tabelle51324[Repräsentation/Bewirtung intern])</totalsRowFormula>
    </tableColumn>
    <tableColumn id="8" name="Repräsentation/Bewirtung extern" totalsRowFunction="custom" dataDxfId="387" totalsRowDxfId="120">
      <totalsRowFormula>SUBTOTAL(9,Tabelle51324[Repräsentation/Bewirtung extern])</totalsRowFormula>
    </tableColumn>
    <tableColumn id="9" name="Raum + Unterkunft extern" totalsRowFunction="custom" dataDxfId="386" totalsRowDxfId="119">
      <totalsRowFormula>SUBTOTAL(9,Tabelle51324[Raum + Unterkunft extern])</totalsRowFormula>
    </tableColumn>
    <tableColumn id="10" name="Druckkosten" totalsRowFunction="custom" dataDxfId="385" totalsRowDxfId="118">
      <totalsRowFormula>SUBTOTAL(9,Tabelle51324[Druckkosten])</totalsRowFormula>
    </tableColumn>
    <tableColumn id="11" name="Sonstige Kosten" totalsRowFunction="custom" dataDxfId="384" totalsRowDxfId="117">
      <totalsRowFormula>SUBTOTAL(9,Tabelle51324[Sonstige Kosten])</totalsRowFormula>
    </tableColumn>
    <tableColumn id="12" name="Rechtsangelegenheiten" totalsRowFunction="custom" dataDxfId="383" totalsRowDxfId="116">
      <totalsRowFormula>SUBTOTAL(9,Tabelle51324[Rechtsangelegenheiten])</totalsRowFormula>
    </tableColumn>
    <tableColumn id="15" name="Andere Honorare" totalsRowFunction="sum" dataDxfId="382" totalsRowDxfId="115"/>
    <tableColumn id="13" name="Gesamt" totalsRowFunction="custom" dataDxfId="381" totalsRowDxfId="114">
      <totalsRowFormula>SUBTOTAL(9,Tabelle51324[Gesamt])</totalsRowFormula>
    </tableColumn>
  </tableColumns>
  <tableStyleInfo name="TableStyleLight16" showFirstColumn="0" showLastColumn="0" showRowStripes="1" showColumnStripes="0"/>
</table>
</file>

<file path=xl/tables/table3.xml><?xml version="1.0" encoding="utf-8"?>
<table xmlns="http://schemas.openxmlformats.org/spreadsheetml/2006/main" id="20" name="Tabelle20" displayName="Tabelle20" ref="A20:D33" totalsRowCount="1" headerRowDxfId="747" tableBorderDxfId="746">
  <autoFilter ref="A20:D32"/>
  <tableColumns count="4">
    <tableColumn id="1" name="Muster" totalsRowLabel="Ergebnis" totalsRowDxfId="745"/>
    <tableColumn id="2" name="AE" dataDxfId="744" totalsRowDxfId="743"/>
    <tableColumn id="3" name="Anzahl" totalsRowDxfId="742"/>
    <tableColumn id="4" name="Gesamt:" totalsRowFunction="sum" dataDxfId="741" totalsRowDxfId="740"/>
  </tableColumns>
  <tableStyleInfo name="TableStyleLight19" showFirstColumn="0" showLastColumn="0" showRowStripes="1" showColumnStripes="0"/>
</table>
</file>

<file path=xl/tables/table30.xml><?xml version="1.0" encoding="utf-8"?>
<table xmlns="http://schemas.openxmlformats.org/spreadsheetml/2006/main" id="24" name="Tabelle61525" displayName="Tabelle61525" ref="A67:I85" totalsRowCount="1" headerRowDxfId="380" dataDxfId="379" totalsRowDxfId="378" dataCellStyle="Link">
  <autoFilter ref="A67:I84"/>
  <tableColumns count="9">
    <tableColumn id="1" name="Lfd. Nr. " dataDxfId="377" totalsRowDxfId="137">
      <calculatedColumnFormula>ROW(A1)</calculatedColumnFormula>
    </tableColumn>
    <tableColumn id="8" name="Sitzung/Tätigkeit" dataDxfId="376" totalsRowDxfId="136"/>
    <tableColumn id="9" name="Ort oder Datum (falls bekannt)" dataDxfId="375" totalsRowDxfId="135"/>
    <tableColumn id="7" name="Art" totalsRowLabel="Gesamt:  " dataDxfId="374" totalsRowDxfId="134"/>
    <tableColumn id="2" name="Aufwandsentschädigungen" totalsRowFunction="custom" dataDxfId="373" totalsRowDxfId="133" dataCellStyle="Link">
      <totalsRowFormula>SUBTOTAL(9,Tabelle61525[Aufwandsentschädigungen])</totalsRowFormula>
    </tableColumn>
    <tableColumn id="3" name="Interne Reisekosten" totalsRowFunction="custom" dataDxfId="372" totalsRowDxfId="132" dataCellStyle="Link">
      <totalsRowFormula>SUBTOTAL(9,Tabelle61525[Interne Reisekosten])</totalsRowFormula>
    </tableColumn>
    <tableColumn id="4" name="Raum + Unterkunft intern" totalsRowFunction="custom" dataDxfId="371" totalsRowDxfId="131" dataCellStyle="Link">
      <totalsRowFormula>SUBTOTAL(9,Tabelle61525[Raum + Unterkunft intern])</totalsRowFormula>
    </tableColumn>
    <tableColumn id="5" name="Repräsentation/Bewirtung intern" totalsRowFunction="custom" dataDxfId="370" totalsRowDxfId="130" dataCellStyle="Link">
      <totalsRowFormula>SUBTOTAL(9,Tabelle61525[Repräsentation/Bewirtung intern])</totalsRowFormula>
    </tableColumn>
    <tableColumn id="6" name="Gesamt" totalsRowFunction="custom" dataDxfId="369" totalsRowDxfId="129">
      <totalsRowFormula>SUBTOTAL(9,Tabelle61525[Gesamt])</totalsRowFormula>
    </tableColumn>
  </tableColumns>
  <tableStyleInfo name="TableStyleLight21" showFirstColumn="0" showLastColumn="0" showRowStripes="1" showColumnStripes="0"/>
</table>
</file>

<file path=xl/tables/table31.xml><?xml version="1.0" encoding="utf-8"?>
<table xmlns="http://schemas.openxmlformats.org/spreadsheetml/2006/main" id="25" name="Tabelle182226" displayName="Tabelle182226" ref="A3:J23" totalsRowCount="1" headerRowDxfId="368" dataDxfId="366" totalsRowDxfId="364" headerRowBorderDxfId="367" tableBorderDxfId="365">
  <autoFilter ref="A3:J22"/>
  <tableColumns count="10">
    <tableColumn id="1" name="Titel" dataDxfId="363" totalsRowDxfId="101"/>
    <tableColumn id="2" name="Kontenbezeichnung" dataDxfId="362" totalsRowDxfId="100"/>
    <tableColumn id="3" name="-" dataDxfId="361" totalsRowDxfId="99"/>
    <tableColumn id="4" name="Erläuterung" totalsRowLabel="Gesamt:" dataDxfId="360" totalsRowDxfId="98"/>
    <tableColumn id="11" name="Freie Eingabe Plan 22-23" totalsRowFunction="custom" dataDxfId="359" totalsRowDxfId="97">
      <totalsRowFormula>SUBTOTAL(109,E10:E22)</totalsRowFormula>
    </tableColumn>
    <tableColumn id="10" name="Rechnung HHJ 22-23" totalsRowFunction="custom" dataDxfId="358" totalsRowDxfId="96">
      <totalsRowFormula>SUBTOTAL(109,F10:F22)</totalsRowFormula>
    </tableColumn>
    <tableColumn id="5" name="Freie Eingabe Plan HHJ 21-22" totalsRowFunction="custom" dataDxfId="357" totalsRowDxfId="95">
      <totalsRowFormula>SUBTOTAL(109,G10:G22)</totalsRowFormula>
    </tableColumn>
    <tableColumn id="7" name="IST HHJ 21-22" dataDxfId="356" totalsRowDxfId="94"/>
    <tableColumn id="8" name="Abschluss 20-21" dataDxfId="355" totalsRowDxfId="93"/>
    <tableColumn id="9" name="Plan HHJ 20-21" dataDxfId="354" totalsRowDxfId="92"/>
  </tableColumns>
  <tableStyleInfo name="TableStyleLight1" showFirstColumn="0" showLastColumn="0" showRowStripes="1" showColumnStripes="0"/>
</table>
</file>

<file path=xl/tables/table32.xml><?xml version="1.0" encoding="utf-8"?>
<table xmlns="http://schemas.openxmlformats.org/spreadsheetml/2006/main" id="26" name="Tabelle4102327" displayName="Tabelle4102327" ref="A35:L48" totalsRowCount="1" headerRowDxfId="353" dataDxfId="352" totalsRowDxfId="351">
  <autoFilter ref="A35:L47"/>
  <tableColumns count="12">
    <tableColumn id="13" name="Lfd. Nr." dataDxfId="350" totalsRowDxfId="82">
      <calculatedColumnFormula>ROW(A1)</calculatedColumnFormula>
    </tableColumn>
    <tableColumn id="1" name="Beschreibung/ Kurzbezeichnung" totalsRowLabel="Gesamt:  " dataDxfId="349" totalsRowDxfId="81"/>
    <tableColumn id="2" name="Teilnahmebeiträge Fachseminare" totalsRowFunction="custom" dataDxfId="348" totalsRowDxfId="80">
      <totalsRowFormula>SUBTOTAL(9,Tabelle4102327[Teilnahmebeiträge Fachseminare])</totalsRowFormula>
    </tableColumn>
    <tableColumn id="3" name="Teilnahmebeiträge Veranstaltungen" totalsRowFunction="custom" dataDxfId="347" totalsRowDxfId="79">
      <totalsRowFormula>SUBTOTAL(9,Tabelle4102327[Teilnahmebeiträge Veranstaltungen])</totalsRowFormula>
    </tableColumn>
    <tableColumn id="4" name="Sonstige Einnahmen" totalsRowFunction="custom" dataDxfId="346" totalsRowDxfId="78">
      <totalsRowFormula>SUBTOTAL(9,Tabelle4102327[Sonstige Einnahmen])</totalsRowFormula>
    </tableColumn>
    <tableColumn id="5" name="Honorare Dozierende Fachseminare" totalsRowFunction="custom" dataDxfId="345" totalsRowDxfId="77">
      <totalsRowFormula>SUBTOTAL(9,Tabelle4102327[Honorare Dozierende Fachseminare])</totalsRowFormula>
    </tableColumn>
    <tableColumn id="6" name="Aufwandsentschädigungen" totalsRowFunction="custom" dataDxfId="344" totalsRowDxfId="76">
      <totalsRowFormula>SUBTOTAL(9,Tabelle4102327[Aufwandsentschädigungen])</totalsRowFormula>
    </tableColumn>
    <tableColumn id="7" name="Externe Reisekosten" totalsRowFunction="custom" dataDxfId="343" totalsRowDxfId="75">
      <totalsRowFormula>SUBTOTAL(9,Tabelle4102327[Externe Reisekosten])</totalsRowFormula>
    </tableColumn>
    <tableColumn id="8" name="Repräsentation/Bewirtung extern" totalsRowFunction="custom" dataDxfId="342" totalsRowDxfId="74">
      <totalsRowFormula>SUBTOTAL(9,Tabelle4102327[Repräsentation/Bewirtung extern])</totalsRowFormula>
    </tableColumn>
    <tableColumn id="9" name="Raum + Unterkunft extern" totalsRowFunction="custom" dataDxfId="341" totalsRowDxfId="73">
      <totalsRowFormula>SUBTOTAL(9,Tabelle4102327[Raum + Unterkunft extern])</totalsRowFormula>
    </tableColumn>
    <tableColumn id="10" name="Verwaltungs- und Druckkosten" totalsRowFunction="custom" dataDxfId="340" totalsRowDxfId="72">
      <totalsRowFormula>SUBTOTAL(9,Tabelle4102327[Verwaltungs- und Druckkosten])</totalsRowFormula>
    </tableColumn>
    <tableColumn id="11" name="Gesamt" totalsRowFunction="custom" dataDxfId="339" totalsRowDxfId="71">
      <totalsRowFormula>SUBTOTAL(9,Tabelle4102327[Gesamt])</totalsRowFormula>
    </tableColumn>
  </tableColumns>
  <tableStyleInfo name="TableStyleLight19" showFirstColumn="0" showLastColumn="0" showRowStripes="1" showColumnStripes="0"/>
</table>
</file>

<file path=xl/tables/table33.xml><?xml version="1.0" encoding="utf-8"?>
<table xmlns="http://schemas.openxmlformats.org/spreadsheetml/2006/main" id="27" name="Tabelle5132428" displayName="Tabelle5132428" ref="A53:O66" totalsRowCount="1" headerRowDxfId="338" dataDxfId="337" totalsRowDxfId="336">
  <autoFilter ref="A53:O65"/>
  <tableColumns count="15">
    <tableColumn id="14" name="Lfd. Nr." dataDxfId="335" totalsRowDxfId="70">
      <calculatedColumnFormula>ROW(A1)</calculatedColumnFormula>
    </tableColumn>
    <tableColumn id="1" name="Beschreibung" totalsRowLabel="Gesamt:  " dataDxfId="334" totalsRowDxfId="69"/>
    <tableColumn id="2" name="Teilnahmebeiträge Veranstaltungen" totalsRowFunction="custom" dataDxfId="333" totalsRowDxfId="68">
      <totalsRowFormula>SUBTOTAL(9,Tabelle5132428[Teilnahmebeiträge Veranstaltungen])</totalsRowFormula>
    </tableColumn>
    <tableColumn id="3" name="Sonstige Einnahmen" totalsRowFunction="custom" dataDxfId="332" totalsRowDxfId="67">
      <totalsRowFormula>SUBTOTAL(9,Tabelle5132428[Sonstige Einnahmen])</totalsRowFormula>
    </tableColumn>
    <tableColumn id="4" name="Aufwandsentschädigungen" totalsRowFunction="custom" dataDxfId="331" totalsRowDxfId="66">
      <totalsRowFormula>SUBTOTAL(9,Tabelle5132428[Aufwandsentschädigungen])</totalsRowFormula>
    </tableColumn>
    <tableColumn id="5" name="Interne Reisekosten" totalsRowFunction="custom" dataDxfId="330" totalsRowDxfId="65">
      <totalsRowFormula>SUBTOTAL(9,Tabelle5132428[Interne Reisekosten])</totalsRowFormula>
    </tableColumn>
    <tableColumn id="6" name="Raum + Unterkunft intern" totalsRowFunction="custom" dataDxfId="329" totalsRowDxfId="64">
      <totalsRowFormula>SUBTOTAL(9,Tabelle5132428[Raum + Unterkunft intern])</totalsRowFormula>
    </tableColumn>
    <tableColumn id="7" name="Repräsentation/Bewirtung intern" totalsRowFunction="custom" dataDxfId="328" totalsRowDxfId="63">
      <totalsRowFormula>SUBTOTAL(9,Tabelle5132428[Repräsentation/Bewirtung intern])</totalsRowFormula>
    </tableColumn>
    <tableColumn id="8" name="Repräsentation/Bewirtung extern" totalsRowFunction="custom" dataDxfId="327" totalsRowDxfId="62">
      <totalsRowFormula>SUBTOTAL(9,Tabelle5132428[Repräsentation/Bewirtung extern])</totalsRowFormula>
    </tableColumn>
    <tableColumn id="9" name="Raum + Unterkunft extern" totalsRowFunction="custom" dataDxfId="326" totalsRowDxfId="61">
      <totalsRowFormula>SUBTOTAL(9,Tabelle5132428[Raum + Unterkunft extern])</totalsRowFormula>
    </tableColumn>
    <tableColumn id="10" name="Druckkosten" totalsRowFunction="custom" dataDxfId="325" totalsRowDxfId="60">
      <totalsRowFormula>SUBTOTAL(9,Tabelle5132428[Druckkosten])</totalsRowFormula>
    </tableColumn>
    <tableColumn id="11" name="Sonstige Kosten" totalsRowFunction="custom" dataDxfId="324" totalsRowDxfId="59">
      <totalsRowFormula>SUBTOTAL(9,Tabelle5132428[Sonstige Kosten])</totalsRowFormula>
    </tableColumn>
    <tableColumn id="12" name="Rechtsangelegenheiten" totalsRowFunction="custom" dataDxfId="323" totalsRowDxfId="58">
      <totalsRowFormula>SUBTOTAL(9,Tabelle5132428[Rechtsangelegenheiten])</totalsRowFormula>
    </tableColumn>
    <tableColumn id="15" name="Andere Honorare" totalsRowFunction="sum" dataDxfId="322" totalsRowDxfId="57"/>
    <tableColumn id="13" name="Gesamt" totalsRowFunction="custom" dataDxfId="321" totalsRowDxfId="56">
      <totalsRowFormula>SUBTOTAL(9,Tabelle5132428[Gesamt])</totalsRowFormula>
    </tableColumn>
  </tableColumns>
  <tableStyleInfo name="TableStyleLight16" showFirstColumn="0" showLastColumn="0" showRowStripes="1" showColumnStripes="0"/>
</table>
</file>

<file path=xl/tables/table34.xml><?xml version="1.0" encoding="utf-8"?>
<table xmlns="http://schemas.openxmlformats.org/spreadsheetml/2006/main" id="28" name="Tabelle6152529" displayName="Tabelle6152529" ref="A71:I89" totalsRowCount="1" headerRowDxfId="320" dataDxfId="319" totalsRowDxfId="318" dataCellStyle="Link">
  <autoFilter ref="A71:I88"/>
  <tableColumns count="9">
    <tableColumn id="1" name="Lfd. Nr. " dataDxfId="317" totalsRowDxfId="91">
      <calculatedColumnFormula>ROW(A1)</calculatedColumnFormula>
    </tableColumn>
    <tableColumn id="8" name="Sitzung/Tätigkeit" dataDxfId="316" totalsRowDxfId="90"/>
    <tableColumn id="9" name="Ort oder Datum (falls bekannt)" dataDxfId="315" totalsRowDxfId="89"/>
    <tableColumn id="7" name="Art" totalsRowLabel="Gesamt:  " dataDxfId="314" totalsRowDxfId="88"/>
    <tableColumn id="2" name="Aufwandsentschädigungen" totalsRowFunction="custom" dataDxfId="313" totalsRowDxfId="87" dataCellStyle="Link">
      <totalsRowFormula>SUBTOTAL(9,Tabelle6152529[Aufwandsentschädigungen])</totalsRowFormula>
    </tableColumn>
    <tableColumn id="3" name="Interne Reisekosten" totalsRowFunction="custom" dataDxfId="312" totalsRowDxfId="86" dataCellStyle="Link">
      <totalsRowFormula>SUBTOTAL(9,Tabelle6152529[Interne Reisekosten])</totalsRowFormula>
    </tableColumn>
    <tableColumn id="4" name="Raum + Unterkunft intern" totalsRowFunction="custom" dataDxfId="311" totalsRowDxfId="85" dataCellStyle="Link">
      <totalsRowFormula>SUBTOTAL(9,Tabelle6152529[Raum + Unterkunft intern])</totalsRowFormula>
    </tableColumn>
    <tableColumn id="5" name="Repräsentation/Bewirtung intern" totalsRowFunction="custom" dataDxfId="310" totalsRowDxfId="84" dataCellStyle="Link">
      <totalsRowFormula>SUBTOTAL(9,Tabelle6152529[Repräsentation/Bewirtung intern])</totalsRowFormula>
    </tableColumn>
    <tableColumn id="6" name="Gesamt" totalsRowFunction="custom" dataDxfId="309" totalsRowDxfId="83">
      <totalsRowFormula>SUBTOTAL(9,Tabelle6152529[Gesamt])</totalsRowFormula>
    </tableColumn>
  </tableColumns>
  <tableStyleInfo name="TableStyleLight21" showFirstColumn="0" showLastColumn="0" showRowStripes="1" showColumnStripes="0"/>
</table>
</file>

<file path=xl/tables/table35.xml><?xml version="1.0" encoding="utf-8"?>
<table xmlns="http://schemas.openxmlformats.org/spreadsheetml/2006/main" id="29" name="Tabelle18222630" displayName="Tabelle18222630" ref="A3:J23" totalsRowCount="1" headerRowDxfId="308" dataDxfId="306" totalsRowDxfId="304" headerRowBorderDxfId="307" tableBorderDxfId="305">
  <autoFilter ref="A3:J22"/>
  <tableColumns count="10">
    <tableColumn id="1" name="Titel" dataDxfId="303" totalsRowDxfId="55"/>
    <tableColumn id="2" name="Kontenbezeichnung" dataDxfId="302" totalsRowDxfId="54"/>
    <tableColumn id="3" name="-" dataDxfId="301" totalsRowDxfId="53"/>
    <tableColumn id="4" name="Erläuterung" totalsRowLabel="Gesamt:" dataDxfId="300" totalsRowDxfId="52"/>
    <tableColumn id="13" name="Freie Eingabe Plan HHJ 22-23" totalsRowFunction="custom" dataDxfId="299" totalsRowDxfId="51">
      <totalsRowFormula>SUBTOTAL(109,E10:E22)</totalsRowFormula>
    </tableColumn>
    <tableColumn id="11" name="Rechnung HHJ 22-23" totalsRowFunction="custom" dataDxfId="298" totalsRowDxfId="50">
      <totalsRowFormula>SUBTOTAL(109,F10:F22)</totalsRowFormula>
    </tableColumn>
    <tableColumn id="5" name="Freie Eingabe Plan HHJ 21-22" totalsRowFunction="custom" dataDxfId="297" totalsRowDxfId="49">
      <totalsRowFormula>SUBTOTAL(109,G10:G22)</totalsRowFormula>
    </tableColumn>
    <tableColumn id="7" name="IST HHJ 21-22" dataDxfId="296" totalsRowDxfId="48"/>
    <tableColumn id="8" name="Abschluss 20-21" dataDxfId="295" totalsRowDxfId="47"/>
    <tableColumn id="9" name="Plan HHJ 20-21" dataDxfId="294" totalsRowDxfId="46"/>
  </tableColumns>
  <tableStyleInfo name="TableStyleLight1" showFirstColumn="0" showLastColumn="0" showRowStripes="1" showColumnStripes="0"/>
</table>
</file>

<file path=xl/tables/table36.xml><?xml version="1.0" encoding="utf-8"?>
<table xmlns="http://schemas.openxmlformats.org/spreadsheetml/2006/main" id="30" name="Tabelle410232731" displayName="Tabelle410232731" ref="A35:L47" totalsRowCount="1" headerRowDxfId="293" dataDxfId="292" totalsRowDxfId="291">
  <autoFilter ref="A35:L46"/>
  <tableColumns count="12">
    <tableColumn id="13" name="Lfd. Nr." dataDxfId="290" totalsRowDxfId="36">
      <calculatedColumnFormula>ROW(A1)</calculatedColumnFormula>
    </tableColumn>
    <tableColumn id="1" name="Beschreibung/ Kurzbezeichnung" totalsRowLabel="Gesamt:  " dataDxfId="289" totalsRowDxfId="35"/>
    <tableColumn id="2" name="Teilnahmebeiträge Fachseminare" totalsRowFunction="custom" dataDxfId="288" totalsRowDxfId="34">
      <totalsRowFormula>SUBTOTAL(9,Tabelle410232731[Teilnahmebeiträge Fachseminare])</totalsRowFormula>
    </tableColumn>
    <tableColumn id="3" name="Teilnahmebeiträge Veranstaltungen" totalsRowFunction="custom" dataDxfId="287" totalsRowDxfId="33">
      <totalsRowFormula>SUBTOTAL(9,Tabelle410232731[Teilnahmebeiträge Veranstaltungen])</totalsRowFormula>
    </tableColumn>
    <tableColumn id="4" name="Sonstige Einnahmen" totalsRowFunction="custom" dataDxfId="286" totalsRowDxfId="32">
      <totalsRowFormula>SUBTOTAL(9,Tabelle410232731[Sonstige Einnahmen])</totalsRowFormula>
    </tableColumn>
    <tableColumn id="5" name="Honorare Dozierende Fachseminare" totalsRowFunction="custom" dataDxfId="285" totalsRowDxfId="31">
      <totalsRowFormula>SUBTOTAL(9,Tabelle410232731[Honorare Dozierende Fachseminare])</totalsRowFormula>
    </tableColumn>
    <tableColumn id="6" name="Aufwandsentschädigungen" totalsRowFunction="custom" dataDxfId="284" totalsRowDxfId="30">
      <totalsRowFormula>SUBTOTAL(9,Tabelle410232731[Aufwandsentschädigungen])</totalsRowFormula>
    </tableColumn>
    <tableColumn id="7" name="Externe Reisekosten" totalsRowFunction="custom" dataDxfId="283" totalsRowDxfId="29">
      <totalsRowFormula>SUBTOTAL(9,Tabelle410232731[Externe Reisekosten])</totalsRowFormula>
    </tableColumn>
    <tableColumn id="8" name="Repräsentation/Bewirtung extern" totalsRowFunction="custom" dataDxfId="282" totalsRowDxfId="28">
      <totalsRowFormula>SUBTOTAL(9,Tabelle410232731[Repräsentation/Bewirtung extern])</totalsRowFormula>
    </tableColumn>
    <tableColumn id="9" name="Raum + Unterkunft extern" totalsRowFunction="custom" dataDxfId="281" totalsRowDxfId="27">
      <totalsRowFormula>SUBTOTAL(9,Tabelle410232731[Raum + Unterkunft extern])</totalsRowFormula>
    </tableColumn>
    <tableColumn id="10" name="Verwaltungs- und Druckkosten" totalsRowFunction="custom" dataDxfId="280" totalsRowDxfId="26">
      <totalsRowFormula>SUBTOTAL(9,Tabelle410232731[Verwaltungs- und Druckkosten])</totalsRowFormula>
    </tableColumn>
    <tableColumn id="11" name="Gesamt" totalsRowFunction="custom" dataDxfId="279" totalsRowDxfId="25">
      <totalsRowFormula>SUBTOTAL(9,Tabelle410232731[Gesamt])</totalsRowFormula>
    </tableColumn>
  </tableColumns>
  <tableStyleInfo name="TableStyleLight19" showFirstColumn="0" showLastColumn="0" showRowStripes="1" showColumnStripes="0"/>
</table>
</file>

<file path=xl/tables/table37.xml><?xml version="1.0" encoding="utf-8"?>
<table xmlns="http://schemas.openxmlformats.org/spreadsheetml/2006/main" id="31" name="Tabelle513242832" displayName="Tabelle513242832" ref="A52:O65" totalsRowCount="1" headerRowDxfId="278" dataDxfId="277" totalsRowDxfId="276">
  <autoFilter ref="A52:O64"/>
  <tableColumns count="15">
    <tableColumn id="14" name="Lfd. Nr." dataDxfId="275" totalsRowDxfId="24">
      <calculatedColumnFormula>ROW(A1)</calculatedColumnFormula>
    </tableColumn>
    <tableColumn id="1" name="Beschreibung" totalsRowLabel="Gesamt:  " dataDxfId="274" totalsRowDxfId="23"/>
    <tableColumn id="2" name="Teilnahmebeiträge Veranstaltungen" totalsRowFunction="custom" dataDxfId="273" totalsRowDxfId="22">
      <totalsRowFormula>SUBTOTAL(9,Tabelle513242832[Teilnahmebeiträge Veranstaltungen])</totalsRowFormula>
    </tableColumn>
    <tableColumn id="3" name="Sonstige Einnahmen" totalsRowFunction="custom" dataDxfId="272" totalsRowDxfId="21">
      <totalsRowFormula>SUBTOTAL(9,Tabelle513242832[Sonstige Einnahmen])</totalsRowFormula>
    </tableColumn>
    <tableColumn id="4" name="Aufwandsentschädigungen" totalsRowFunction="custom" dataDxfId="271" totalsRowDxfId="20">
      <totalsRowFormula>SUBTOTAL(9,Tabelle513242832[Aufwandsentschädigungen])</totalsRowFormula>
    </tableColumn>
    <tableColumn id="5" name="Interne Reisekosten" totalsRowFunction="custom" dataDxfId="270" totalsRowDxfId="19">
      <totalsRowFormula>SUBTOTAL(9,Tabelle513242832[Interne Reisekosten])</totalsRowFormula>
    </tableColumn>
    <tableColumn id="6" name="Raum + Unterkunft intern" totalsRowFunction="custom" dataDxfId="269" totalsRowDxfId="18">
      <totalsRowFormula>SUBTOTAL(9,Tabelle513242832[Raum + Unterkunft intern])</totalsRowFormula>
    </tableColumn>
    <tableColumn id="7" name="Repräsentation/Bewirtung intern" totalsRowFunction="custom" dataDxfId="268" totalsRowDxfId="17">
      <totalsRowFormula>SUBTOTAL(9,Tabelle513242832[Repräsentation/Bewirtung intern])</totalsRowFormula>
    </tableColumn>
    <tableColumn id="8" name="Repräsentation/Bewirtung extern" totalsRowFunction="custom" dataDxfId="267" totalsRowDxfId="16">
      <totalsRowFormula>SUBTOTAL(9,Tabelle513242832[Repräsentation/Bewirtung extern])</totalsRowFormula>
    </tableColumn>
    <tableColumn id="9" name="Raum + Unterkunft extern" totalsRowFunction="custom" dataDxfId="266" totalsRowDxfId="15">
      <totalsRowFormula>SUBTOTAL(9,Tabelle513242832[Raum + Unterkunft extern])</totalsRowFormula>
    </tableColumn>
    <tableColumn id="10" name="Druckkosten" totalsRowFunction="custom" dataDxfId="265" totalsRowDxfId="14">
      <totalsRowFormula>SUBTOTAL(9,Tabelle513242832[Druckkosten])</totalsRowFormula>
    </tableColumn>
    <tableColumn id="11" name="Sonstige Kosten" totalsRowFunction="custom" dataDxfId="264" totalsRowDxfId="13">
      <totalsRowFormula>SUBTOTAL(9,Tabelle513242832[Sonstige Kosten])</totalsRowFormula>
    </tableColumn>
    <tableColumn id="12" name="Rechtsangelegenheiten" totalsRowFunction="custom" dataDxfId="263" totalsRowDxfId="12">
      <totalsRowFormula>SUBTOTAL(9,Tabelle513242832[Rechtsangelegenheiten])</totalsRowFormula>
    </tableColumn>
    <tableColumn id="15" name="Andere Honorare" totalsRowFunction="sum" dataDxfId="262" totalsRowDxfId="11"/>
    <tableColumn id="13" name="Gesamt" totalsRowFunction="custom" dataDxfId="261" totalsRowDxfId="10">
      <calculatedColumnFormula>SUM(C53+D53)-SUM(F53:N53)</calculatedColumnFormula>
      <totalsRowFormula>SUBTOTAL(9,Tabelle513242832[Gesamt])</totalsRowFormula>
    </tableColumn>
  </tableColumns>
  <tableStyleInfo name="TableStyleLight16" showFirstColumn="0" showLastColumn="0" showRowStripes="1" showColumnStripes="0"/>
</table>
</file>

<file path=xl/tables/table38.xml><?xml version="1.0" encoding="utf-8"?>
<table xmlns="http://schemas.openxmlformats.org/spreadsheetml/2006/main" id="32" name="Tabelle615252933" displayName="Tabelle615252933" ref="A70:I80" totalsRowCount="1" headerRowDxfId="260" dataDxfId="259" totalsRowDxfId="258" dataCellStyle="Link">
  <autoFilter ref="A70:I79"/>
  <tableColumns count="9">
    <tableColumn id="1" name="Lfd. Nr. " dataDxfId="257" totalsRowDxfId="45">
      <calculatedColumnFormula>ROW(A1)</calculatedColumnFormula>
    </tableColumn>
    <tableColumn id="8" name="Sitzung/Tätigkeit" dataDxfId="256" totalsRowDxfId="44"/>
    <tableColumn id="9" name="Ort oder Datum (falls bekannt)" dataDxfId="255" totalsRowDxfId="43"/>
    <tableColumn id="7" name="Art" totalsRowLabel="Gesamt:  " dataDxfId="254" totalsRowDxfId="42"/>
    <tableColumn id="2" name="Aufwandsentschädigungen" totalsRowFunction="custom" dataDxfId="253" totalsRowDxfId="41" dataCellStyle="Link">
      <totalsRowFormula>SUBTOTAL(9,Tabelle615252933[Aufwandsentschädigungen])</totalsRowFormula>
    </tableColumn>
    <tableColumn id="3" name="Interne Reisekosten" totalsRowFunction="custom" dataDxfId="252" totalsRowDxfId="40" dataCellStyle="Link">
      <totalsRowFormula>SUBTOTAL(9,Tabelle615252933[Interne Reisekosten])</totalsRowFormula>
    </tableColumn>
    <tableColumn id="4" name="Raum + Unterkunft intern" totalsRowFunction="custom" dataDxfId="251" totalsRowDxfId="39" dataCellStyle="Link">
      <totalsRowFormula>SUBTOTAL(9,Tabelle615252933[Raum + Unterkunft intern])</totalsRowFormula>
    </tableColumn>
    <tableColumn id="5" name="Repräsentation/Bewirtung intern" totalsRowFunction="custom" dataDxfId="250" totalsRowDxfId="38" dataCellStyle="Link">
      <totalsRowFormula>SUBTOTAL(9,Tabelle615252933[Repräsentation/Bewirtung intern])</totalsRowFormula>
    </tableColumn>
    <tableColumn id="6" name="Gesamt" totalsRowFunction="custom" dataDxfId="249" totalsRowDxfId="37">
      <totalsRowFormula>SUBTOTAL(9,Tabelle615252933[Gesamt])</totalsRowFormula>
    </tableColumn>
  </tableColumns>
  <tableStyleInfo name="TableStyleLight21" showFirstColumn="0" showLastColumn="0" showRowStripes="1" showColumnStripes="0"/>
</table>
</file>

<file path=xl/tables/table39.xml><?xml version="1.0" encoding="utf-8"?>
<table xmlns="http://schemas.openxmlformats.org/spreadsheetml/2006/main" id="33" name="Tabelle1822263034" displayName="Tabelle1822263034" ref="A3:J23" totalsRowCount="1" headerRowDxfId="248" dataDxfId="246" totalsRowDxfId="244" headerRowBorderDxfId="247" tableBorderDxfId="245">
  <autoFilter ref="A3:J22"/>
  <tableColumns count="10">
    <tableColumn id="1" name="Titel" dataDxfId="243" totalsRowDxfId="9"/>
    <tableColumn id="2" name="Kontenbezeichnung" dataDxfId="242" totalsRowDxfId="8"/>
    <tableColumn id="3" name="-" dataDxfId="241" totalsRowDxfId="7"/>
    <tableColumn id="4" name="Erläuterung" totalsRowLabel="Gesamt:" dataDxfId="240" totalsRowDxfId="6"/>
    <tableColumn id="15" name="Freie Eingabe Plan HHJ 22-23" totalsRowFunction="custom" dataDxfId="239" totalsRowDxfId="5">
      <totalsRowFormula>SUBTOTAL(109,E10:E22)</totalsRowFormula>
    </tableColumn>
    <tableColumn id="13" name="Rechnung HHJ 22-23" totalsRowFunction="custom" dataDxfId="238" totalsRowDxfId="4">
      <totalsRowFormula>SUBTOTAL(109,F10:F22)</totalsRowFormula>
    </tableColumn>
    <tableColumn id="5" name="Freie Eingabe Plan HHJ 21-22" totalsRowFunction="custom" dataDxfId="237" totalsRowDxfId="3">
      <totalsRowFormula>SUBTOTAL(109,G10:G22)</totalsRowFormula>
    </tableColumn>
    <tableColumn id="7" name="IST HHJ 21-22" dataDxfId="236" totalsRowDxfId="2"/>
    <tableColumn id="8" name="Abschluss 20-21" dataDxfId="235" totalsRowDxfId="1"/>
    <tableColumn id="9" name="Plan HHJ 20-21" dataDxfId="234" totalsRowDxfId="0"/>
  </tableColumns>
  <tableStyleInfo name="TableStyleLight1" showFirstColumn="0" showLastColumn="0" showRowStripes="1" showColumnStripes="0"/>
</table>
</file>

<file path=xl/tables/table4.xml><?xml version="1.0" encoding="utf-8"?>
<table xmlns="http://schemas.openxmlformats.org/spreadsheetml/2006/main" id="58" name="Tabelle1959" displayName="Tabelle1959" ref="F3:H15" totalsRowCount="1" headerRowDxfId="739" tableBorderDxfId="738">
  <autoFilter ref="F3:H14"/>
  <tableColumns count="3">
    <tableColumn id="1" name="Empfänger" totalsRowLabel="Ergebnis" totalsRowDxfId="737"/>
    <tableColumn id="2" name="Art" totalsRowDxfId="736"/>
    <tableColumn id="3" name="Höhe p.A." totalsRowFunction="sum" dataDxfId="735" totalsRowDxfId="734"/>
  </tableColumns>
  <tableStyleInfo name="TableStyleLight17" showFirstColumn="0" showLastColumn="0" showRowStripes="1" showColumnStripes="0"/>
</table>
</file>

<file path=xl/tables/table5.xml><?xml version="1.0" encoding="utf-8"?>
<table xmlns="http://schemas.openxmlformats.org/spreadsheetml/2006/main" id="16" name="Tabelle16" displayName="Tabelle16" ref="A5:E12" totalsRowCount="1" headerRowDxfId="733" dataDxfId="731" totalsRowDxfId="729" headerRowBorderDxfId="732" tableBorderDxfId="730" totalsRowBorderDxfId="728">
  <autoFilter ref="A5:E11"/>
  <tableColumns count="5">
    <tableColumn id="1" name="Vertrag Nr." totalsRowLabel="Gesamt" dataDxfId="727" totalsRowDxfId="726"/>
    <tableColumn id="2" name="Vertragsinhalt" dataDxfId="725" totalsRowDxfId="724"/>
    <tableColumn id="3" name="Vertragspartner" dataDxfId="723" totalsRowDxfId="722"/>
    <tableColumn id="4" name="Beträge/Budget" totalsRowFunction="sum" dataDxfId="721" totalsRowDxfId="720" dataCellStyle="Währung"/>
    <tableColumn id="5" name="Laufzeit" dataDxfId="719" totalsRowDxfId="718"/>
  </tableColumns>
  <tableStyleInfo name="TableStyleLight18" showFirstColumn="0" showLastColumn="0" showRowStripes="1" showColumnStripes="0"/>
</table>
</file>

<file path=xl/tables/table6.xml><?xml version="1.0" encoding="utf-8"?>
<table xmlns="http://schemas.openxmlformats.org/spreadsheetml/2006/main" id="17" name="Tabelle17" displayName="Tabelle17" ref="A17:E24" totalsRowCount="1" headerRowDxfId="717" dataDxfId="715" totalsRowDxfId="713" headerRowBorderDxfId="716" tableBorderDxfId="714" totalsRowBorderDxfId="712">
  <autoFilter ref="A17:E23"/>
  <tableColumns count="5">
    <tableColumn id="1" name="Lizenz-Nr." totalsRowLabel="Gesamt" dataDxfId="711" totalsRowDxfId="710"/>
    <tableColumn id="2" name="Lizenzinhalt" dataDxfId="709" totalsRowDxfId="708"/>
    <tableColumn id="3" name="Lizenzgeber" dataDxfId="707" totalsRowDxfId="706"/>
    <tableColumn id="4" name="Beträge/Budget" totalsRowFunction="sum" dataDxfId="705" totalsRowDxfId="704" dataCellStyle="Währung"/>
    <tableColumn id="5" name="Laufzeit" dataDxfId="703" totalsRowDxfId="702"/>
  </tableColumns>
  <tableStyleInfo name="TableStyleLight18" showFirstColumn="0" showLastColumn="0" showRowStripes="1" showColumnStripes="0"/>
</table>
</file>

<file path=xl/tables/table7.xml><?xml version="1.0" encoding="utf-8"?>
<table xmlns="http://schemas.openxmlformats.org/spreadsheetml/2006/main" id="2" name="Tabelle2" displayName="Tabelle2" ref="F13:I19" totalsRowCount="1" headerRowDxfId="701" headerRowBorderDxfId="700" tableBorderDxfId="699" totalsRowBorderDxfId="698">
  <autoFilter ref="F13:I18"/>
  <tableColumns count="4">
    <tableColumn id="1" name="Nr." totalsRowLabel="Gesamt" totalsRowDxfId="697"/>
    <tableColumn id="2" name="Betrag" totalsRowFunction="sum" dataDxfId="696" totalsRowDxfId="695"/>
    <tableColumn id="3" name="Was?" dataDxfId="694" totalsRowDxfId="693"/>
    <tableColumn id="4" name="Begründung" totalsRowFunction="count" dataDxfId="692" totalsRowDxfId="691"/>
  </tableColumns>
  <tableStyleInfo name="TableStyleLight11" showFirstColumn="0" showLastColumn="0" showRowStripes="1" showColumnStripes="0"/>
</table>
</file>

<file path=xl/tables/table8.xml><?xml version="1.0" encoding="utf-8"?>
<table xmlns="http://schemas.openxmlformats.org/spreadsheetml/2006/main" id="7" name="Tabelle28" displayName="Tabelle28" ref="F4:I10" totalsRowCount="1" headerRowDxfId="690" headerRowBorderDxfId="689" tableBorderDxfId="688" totalsRowBorderDxfId="687">
  <autoFilter ref="F4:I9"/>
  <tableColumns count="4">
    <tableColumn id="1" name="Nr." totalsRowLabel="Gesamt" totalsRowDxfId="686"/>
    <tableColumn id="2" name="Betrag" totalsRowFunction="sum" dataDxfId="685" totalsRowDxfId="684"/>
    <tableColumn id="3" name="Was?" dataDxfId="683" totalsRowDxfId="682"/>
    <tableColumn id="4" name="Begründung" totalsRowFunction="count" dataDxfId="681" totalsRowDxfId="680"/>
  </tableColumns>
  <tableStyleInfo name="TableStyleLight11" showFirstColumn="0" showLastColumn="0" showRowStripes="1" showColumnStripes="0"/>
</table>
</file>

<file path=xl/tables/table9.xml><?xml version="1.0" encoding="utf-8"?>
<table xmlns="http://schemas.openxmlformats.org/spreadsheetml/2006/main" id="15" name="Tabelle2111216" displayName="Tabelle2111216" ref="F22:I28" totalsRowCount="1" headerRowDxfId="679" headerRowBorderDxfId="678" tableBorderDxfId="677" totalsRowBorderDxfId="676">
  <autoFilter ref="F22:I27"/>
  <tableColumns count="4">
    <tableColumn id="1" name="Nr." totalsRowLabel="Gesamt" totalsRowDxfId="675"/>
    <tableColumn id="2" name="Betrag" totalsRowFunction="sum" dataDxfId="674" totalsRowDxfId="673"/>
    <tableColumn id="3" name="Was?" dataDxfId="672" totalsRowDxfId="671"/>
    <tableColumn id="4" name="Begründung" totalsRowFunction="count" dataDxfId="670" totalsRowDxfId="669"/>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4.xml"/><Relationship Id="rId7"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8.xml"/><Relationship Id="rId7"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2.xml"/><Relationship Id="rId7"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6.xml"/><Relationship Id="rId7"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 Id="rId6" Type="http://schemas.openxmlformats.org/officeDocument/2006/relationships/table" Target="../tables/table39.xml"/><Relationship Id="rId5" Type="http://schemas.openxmlformats.org/officeDocument/2006/relationships/table" Target="../tables/table38.xml"/><Relationship Id="rId4" Type="http://schemas.openxmlformats.org/officeDocument/2006/relationships/table" Target="../tables/table3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6.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8.bin"/><Relationship Id="rId4" Type="http://schemas.openxmlformats.org/officeDocument/2006/relationships/table" Target="../tables/table1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R311"/>
  <sheetViews>
    <sheetView tabSelected="1" zoomScaleNormal="100" workbookViewId="0">
      <pane xSplit="2" ySplit="5" topLeftCell="C6" activePane="bottomRight" state="frozen"/>
      <selection pane="topRight" activeCell="C1" sqref="C1"/>
      <selection pane="bottomLeft" activeCell="A6" sqref="A6"/>
      <selection pane="bottomRight" activeCell="E125" sqref="E125"/>
    </sheetView>
  </sheetViews>
  <sheetFormatPr baseColWidth="10" defaultColWidth="11.42578125" defaultRowHeight="15" outlineLevelRow="3" x14ac:dyDescent="0.25"/>
  <cols>
    <col min="1" max="1" width="11.28515625" style="140" customWidth="1"/>
    <col min="2" max="2" width="1" style="154" hidden="1" customWidth="1"/>
    <col min="3" max="3" width="15.28515625" customWidth="1"/>
    <col min="4" max="4" width="50.7109375" customWidth="1"/>
    <col min="5" max="5" width="17" style="14" customWidth="1"/>
    <col min="6" max="6" width="15.7109375" style="14" customWidth="1"/>
    <col min="7" max="7" width="14.140625" style="14" customWidth="1"/>
    <col min="9" max="9" width="13.28515625" customWidth="1"/>
    <col min="10" max="10" width="13.5703125" customWidth="1"/>
    <col min="12" max="12" width="28.7109375" customWidth="1"/>
  </cols>
  <sheetData>
    <row r="1" spans="1:16" ht="23.25" x14ac:dyDescent="0.35">
      <c r="A1" s="231" t="s">
        <v>0</v>
      </c>
      <c r="B1" s="150"/>
      <c r="C1" s="1"/>
    </row>
    <row r="3" spans="1:16" ht="15.75" x14ac:dyDescent="0.25">
      <c r="A3" s="230" t="s">
        <v>1</v>
      </c>
      <c r="B3" s="150"/>
      <c r="C3" s="5"/>
      <c r="D3" s="5"/>
      <c r="E3" s="15"/>
      <c r="F3" s="15"/>
      <c r="G3" s="15"/>
    </row>
    <row r="4" spans="1:16" ht="15.75" x14ac:dyDescent="0.25">
      <c r="A4" s="219"/>
      <c r="B4" s="150"/>
      <c r="C4" s="5"/>
      <c r="D4" s="5"/>
      <c r="E4" s="15"/>
      <c r="F4" s="729"/>
      <c r="G4" s="729" t="s">
        <v>1326</v>
      </c>
    </row>
    <row r="5" spans="1:16" s="229" customFormat="1" x14ac:dyDescent="0.25">
      <c r="A5" s="226" t="s">
        <v>2</v>
      </c>
      <c r="B5" s="227" t="s">
        <v>3</v>
      </c>
      <c r="C5" s="226" t="s">
        <v>4</v>
      </c>
      <c r="D5" s="226" t="s">
        <v>5</v>
      </c>
      <c r="E5" s="228" t="s">
        <v>6</v>
      </c>
      <c r="F5" s="228" t="s">
        <v>7</v>
      </c>
      <c r="G5" s="228" t="s">
        <v>8</v>
      </c>
      <c r="H5" s="228" t="s">
        <v>1276</v>
      </c>
      <c r="I5" s="228" t="s">
        <v>1279</v>
      </c>
      <c r="J5" s="228" t="s">
        <v>1280</v>
      </c>
      <c r="K5" s="226" t="s">
        <v>10</v>
      </c>
      <c r="L5" s="229" t="s">
        <v>11</v>
      </c>
    </row>
    <row r="6" spans="1:16" s="6" customFormat="1" x14ac:dyDescent="0.25">
      <c r="A6" s="160" t="s">
        <v>13</v>
      </c>
      <c r="B6" s="151">
        <f t="shared" ref="B6:B65" si="0">ROW(B1)</f>
        <v>1</v>
      </c>
      <c r="C6" s="2"/>
      <c r="D6" s="2" t="s">
        <v>14</v>
      </c>
      <c r="E6" s="23">
        <f t="shared" ref="E6:J6" si="1">E7+E11++E18+E23+E27+E32</f>
        <v>1076950</v>
      </c>
      <c r="F6" s="23">
        <f>F7+F11++F18+F23+F27+F32</f>
        <v>600000</v>
      </c>
      <c r="G6" s="23">
        <f t="shared" si="1"/>
        <v>5621.55</v>
      </c>
      <c r="H6" s="23">
        <f t="shared" si="1"/>
        <v>0</v>
      </c>
      <c r="I6" s="23">
        <f t="shared" si="1"/>
        <v>0</v>
      </c>
      <c r="J6" s="23">
        <f t="shared" si="1"/>
        <v>0</v>
      </c>
      <c r="K6" s="16"/>
      <c r="L6" s="6" t="s">
        <v>1278</v>
      </c>
    </row>
    <row r="7" spans="1:16" outlineLevel="1" x14ac:dyDescent="0.25">
      <c r="A7" s="220" t="s">
        <v>15</v>
      </c>
      <c r="B7" s="152">
        <f t="shared" si="0"/>
        <v>2</v>
      </c>
      <c r="C7" s="4"/>
      <c r="D7" s="4" t="s">
        <v>16</v>
      </c>
      <c r="E7" s="17">
        <f>SUBTOTAL(9,E8:E9)</f>
        <v>1044000</v>
      </c>
      <c r="F7" s="17">
        <f>SUBTOTAL(9,F8:F9)</f>
        <v>560000</v>
      </c>
      <c r="G7" s="17">
        <f t="shared" ref="G7:J7" si="2">SUBTOTAL(9,G8:G9)</f>
        <v>0</v>
      </c>
      <c r="H7" s="17">
        <f t="shared" si="2"/>
        <v>0</v>
      </c>
      <c r="I7" s="17">
        <f t="shared" si="2"/>
        <v>0</v>
      </c>
      <c r="J7" s="17">
        <f t="shared" si="2"/>
        <v>0</v>
      </c>
      <c r="K7" s="14"/>
      <c r="L7" t="s">
        <v>1284</v>
      </c>
      <c r="N7" s="6"/>
      <c r="P7" t="s">
        <v>1285</v>
      </c>
    </row>
    <row r="8" spans="1:16" outlineLevel="2" x14ac:dyDescent="0.25">
      <c r="A8" s="221" t="s">
        <v>17</v>
      </c>
      <c r="B8" s="153">
        <f t="shared" si="0"/>
        <v>3</v>
      </c>
      <c r="C8" s="3" t="s">
        <v>1261</v>
      </c>
      <c r="D8" s="3" t="s">
        <v>18</v>
      </c>
      <c r="E8" s="18">
        <f>(58000*9)*1.05</f>
        <v>548100</v>
      </c>
      <c r="F8" s="18">
        <v>0</v>
      </c>
      <c r="G8" s="18"/>
      <c r="H8" s="18"/>
      <c r="I8" s="18"/>
      <c r="J8" s="18"/>
      <c r="K8" s="14"/>
      <c r="L8" t="s">
        <v>1281</v>
      </c>
      <c r="M8" s="6"/>
      <c r="N8" s="6"/>
    </row>
    <row r="9" spans="1:16" outlineLevel="2" x14ac:dyDescent="0.25">
      <c r="A9" s="221" t="s">
        <v>19</v>
      </c>
      <c r="B9" s="153">
        <f t="shared" si="0"/>
        <v>4</v>
      </c>
      <c r="C9" s="3" t="s">
        <v>1260</v>
      </c>
      <c r="D9" s="3" t="s">
        <v>20</v>
      </c>
      <c r="E9" s="18">
        <f>(58000*9)*0.95</f>
        <v>495900</v>
      </c>
      <c r="F9" s="18">
        <v>560000</v>
      </c>
      <c r="G9" s="18"/>
      <c r="H9" s="18"/>
      <c r="I9" s="18"/>
      <c r="J9" s="18"/>
      <c r="K9" s="14"/>
      <c r="L9" t="s">
        <v>1282</v>
      </c>
      <c r="N9" s="6"/>
    </row>
    <row r="10" spans="1:16" outlineLevel="1" x14ac:dyDescent="0.25">
      <c r="A10" s="222"/>
      <c r="B10" s="154">
        <f t="shared" si="0"/>
        <v>5</v>
      </c>
      <c r="C10" s="34"/>
      <c r="D10" s="34"/>
      <c r="E10" s="35"/>
      <c r="F10" s="35"/>
      <c r="G10" s="35"/>
      <c r="H10" s="35"/>
      <c r="I10" s="35"/>
      <c r="J10" s="35"/>
      <c r="K10" s="14"/>
      <c r="L10" t="s">
        <v>1283</v>
      </c>
      <c r="M10" s="6"/>
      <c r="N10" s="6"/>
    </row>
    <row r="11" spans="1:16" outlineLevel="1" x14ac:dyDescent="0.25">
      <c r="A11" s="220" t="s">
        <v>21</v>
      </c>
      <c r="B11" s="152">
        <f t="shared" si="0"/>
        <v>6</v>
      </c>
      <c r="C11" s="4"/>
      <c r="D11" s="4" t="s">
        <v>22</v>
      </c>
      <c r="E11" s="17">
        <f>SUBTOTAL(9,E12:E15)</f>
        <v>2000</v>
      </c>
      <c r="F11" s="17">
        <f>SUBTOTAL(9,F12:F15)</f>
        <v>6000</v>
      </c>
      <c r="G11" s="17">
        <f t="shared" ref="G11:J11" si="3">SUBTOTAL(9,G12:G15)</f>
        <v>0</v>
      </c>
      <c r="H11" s="17">
        <f t="shared" si="3"/>
        <v>0</v>
      </c>
      <c r="I11" s="17">
        <f t="shared" si="3"/>
        <v>0</v>
      </c>
      <c r="J11" s="17">
        <f t="shared" si="3"/>
        <v>0</v>
      </c>
      <c r="K11" s="14"/>
      <c r="N11" s="6"/>
    </row>
    <row r="12" spans="1:16" outlineLevel="2" x14ac:dyDescent="0.25">
      <c r="A12" s="221" t="s">
        <v>23</v>
      </c>
      <c r="B12" s="153">
        <f t="shared" si="0"/>
        <v>7</v>
      </c>
      <c r="C12" s="3" t="s">
        <v>24</v>
      </c>
      <c r="D12" s="3" t="s">
        <v>25</v>
      </c>
      <c r="E12" s="18">
        <v>2000</v>
      </c>
      <c r="F12" s="18">
        <v>6000</v>
      </c>
      <c r="G12" s="18"/>
      <c r="H12" s="18"/>
      <c r="I12" s="18"/>
      <c r="J12" s="18"/>
      <c r="K12" s="14"/>
      <c r="M12" s="6"/>
      <c r="N12" s="6"/>
    </row>
    <row r="13" spans="1:16" outlineLevel="2" x14ac:dyDescent="0.25">
      <c r="A13" s="221" t="s">
        <v>26</v>
      </c>
      <c r="B13" s="153">
        <f t="shared" si="0"/>
        <v>8</v>
      </c>
      <c r="C13" s="305">
        <v>119.21</v>
      </c>
      <c r="D13" s="3" t="s">
        <v>27</v>
      </c>
      <c r="E13" s="18">
        <v>0</v>
      </c>
      <c r="F13" s="18">
        <v>0</v>
      </c>
      <c r="G13" s="18"/>
      <c r="H13" s="18"/>
      <c r="I13" s="18"/>
      <c r="J13" s="18"/>
      <c r="K13" s="14"/>
      <c r="L13" t="s">
        <v>28</v>
      </c>
      <c r="N13" s="6"/>
    </row>
    <row r="14" spans="1:16" outlineLevel="2" x14ac:dyDescent="0.25">
      <c r="A14" s="221" t="s">
        <v>29</v>
      </c>
      <c r="B14" s="153">
        <f>ROW(B9)</f>
        <v>9</v>
      </c>
      <c r="C14" s="3" t="s">
        <v>30</v>
      </c>
      <c r="D14" s="3" t="s">
        <v>31</v>
      </c>
      <c r="E14" s="18">
        <v>0</v>
      </c>
      <c r="F14" s="18">
        <v>0</v>
      </c>
      <c r="G14" s="18"/>
      <c r="H14" s="18"/>
      <c r="I14" s="18"/>
      <c r="J14" s="18"/>
      <c r="K14" s="14"/>
      <c r="M14" s="6"/>
      <c r="N14" s="6"/>
    </row>
    <row r="15" spans="1:16" outlineLevel="2" x14ac:dyDescent="0.25">
      <c r="A15" s="221" t="s">
        <v>32</v>
      </c>
      <c r="B15" s="153">
        <f>ROW(B9)</f>
        <v>9</v>
      </c>
      <c r="C15" s="3" t="s">
        <v>33</v>
      </c>
      <c r="D15" s="3" t="s">
        <v>34</v>
      </c>
      <c r="E15" s="18">
        <v>0</v>
      </c>
      <c r="F15" s="18">
        <v>0</v>
      </c>
      <c r="G15" s="18"/>
      <c r="H15" s="18"/>
      <c r="I15" s="18"/>
      <c r="J15" s="18"/>
      <c r="K15" s="14"/>
      <c r="N15" s="6"/>
    </row>
    <row r="16" spans="1:16" outlineLevel="1" x14ac:dyDescent="0.25">
      <c r="B16" s="154">
        <f>ROW(B10)</f>
        <v>10</v>
      </c>
      <c r="H16" s="14"/>
      <c r="I16" s="14"/>
      <c r="J16" s="14"/>
      <c r="K16" s="14"/>
      <c r="M16" s="6"/>
      <c r="N16" s="6"/>
    </row>
    <row r="17" spans="1:14" outlineLevel="1" x14ac:dyDescent="0.25">
      <c r="B17" s="154" t="e">
        <f>ROW(#REF!)</f>
        <v>#REF!</v>
      </c>
      <c r="H17" s="14"/>
      <c r="I17" s="14"/>
      <c r="J17" s="14"/>
      <c r="K17" s="14"/>
      <c r="N17" s="6"/>
    </row>
    <row r="18" spans="1:14" outlineLevel="1" x14ac:dyDescent="0.25">
      <c r="A18" s="220" t="s">
        <v>35</v>
      </c>
      <c r="B18" s="152" t="e">
        <f>ROW(#REF!)</f>
        <v>#REF!</v>
      </c>
      <c r="C18" s="4"/>
      <c r="D18" s="4" t="s">
        <v>36</v>
      </c>
      <c r="E18" s="17">
        <f>SUBTOTAL(9,E19:E20)</f>
        <v>10250</v>
      </c>
      <c r="F18" s="17">
        <f>SUBTOTAL(9,F19:F21)</f>
        <v>11625</v>
      </c>
      <c r="G18" s="17">
        <f t="shared" ref="G18:J18" si="4">SUBTOTAL(9,G19:G20)</f>
        <v>0</v>
      </c>
      <c r="H18" s="17">
        <f t="shared" si="4"/>
        <v>0</v>
      </c>
      <c r="I18" s="17">
        <f t="shared" si="4"/>
        <v>0</v>
      </c>
      <c r="J18" s="17">
        <f t="shared" si="4"/>
        <v>0</v>
      </c>
      <c r="K18" s="14"/>
      <c r="M18" s="6"/>
      <c r="N18" s="6"/>
    </row>
    <row r="19" spans="1:14" outlineLevel="2" x14ac:dyDescent="0.25">
      <c r="A19" s="221" t="s">
        <v>37</v>
      </c>
      <c r="B19" s="153" t="e">
        <f>ROW(#REF!)</f>
        <v>#REF!</v>
      </c>
      <c r="C19" s="3" t="s">
        <v>38</v>
      </c>
      <c r="D19" s="12" t="s">
        <v>39</v>
      </c>
      <c r="E19" s="18">
        <f>Referatspläne!N3</f>
        <v>5200</v>
      </c>
      <c r="F19" s="18">
        <v>500</v>
      </c>
      <c r="G19" s="18"/>
      <c r="H19" s="18"/>
      <c r="I19" s="18"/>
      <c r="J19" s="18"/>
      <c r="K19" s="14"/>
      <c r="N19" s="6"/>
    </row>
    <row r="20" spans="1:14" outlineLevel="2" x14ac:dyDescent="0.25">
      <c r="A20" s="221" t="s">
        <v>40</v>
      </c>
      <c r="B20" s="153" t="e">
        <f>ROW(#REF!)</f>
        <v>#REF!</v>
      </c>
      <c r="C20" s="3" t="s">
        <v>41</v>
      </c>
      <c r="D20" s="12" t="s">
        <v>42</v>
      </c>
      <c r="E20" s="18">
        <f>Referatspläne!O3</f>
        <v>5050</v>
      </c>
      <c r="F20" s="18">
        <v>11125</v>
      </c>
      <c r="G20" s="18"/>
      <c r="H20" s="18"/>
      <c r="I20" s="18"/>
      <c r="J20" s="18"/>
      <c r="K20" s="14"/>
      <c r="M20" s="6"/>
      <c r="N20" s="6"/>
    </row>
    <row r="21" spans="1:14" outlineLevel="2" x14ac:dyDescent="0.25">
      <c r="A21" s="221" t="s">
        <v>43</v>
      </c>
      <c r="B21" s="153" t="e">
        <f>ROW(#REF!)</f>
        <v>#REF!</v>
      </c>
      <c r="C21" s="3" t="s">
        <v>44</v>
      </c>
      <c r="D21" s="3" t="s">
        <v>45</v>
      </c>
      <c r="E21" s="18">
        <v>0</v>
      </c>
      <c r="F21" s="18">
        <v>0</v>
      </c>
      <c r="G21" s="18"/>
      <c r="H21" s="18"/>
      <c r="I21" s="18"/>
      <c r="J21" s="18"/>
      <c r="K21" s="14"/>
      <c r="N21" s="6"/>
    </row>
    <row r="22" spans="1:14" outlineLevel="1" x14ac:dyDescent="0.25">
      <c r="B22" s="154">
        <f t="shared" si="0"/>
        <v>17</v>
      </c>
      <c r="H22" s="14"/>
      <c r="I22" s="14"/>
      <c r="J22" s="14"/>
      <c r="K22" s="14"/>
      <c r="M22" s="6"/>
      <c r="N22" s="6"/>
    </row>
    <row r="23" spans="1:14" outlineLevel="1" x14ac:dyDescent="0.25">
      <c r="A23" s="220" t="s">
        <v>46</v>
      </c>
      <c r="B23" s="152">
        <f t="shared" si="0"/>
        <v>18</v>
      </c>
      <c r="C23" s="4"/>
      <c r="D23" s="4" t="s">
        <v>47</v>
      </c>
      <c r="E23" s="17">
        <f>SUBTOTAL(9,E24:E25)</f>
        <v>0</v>
      </c>
      <c r="F23" s="17">
        <f>SUBTOTAL(9,F24:F25)</f>
        <v>0</v>
      </c>
      <c r="G23" s="17">
        <f t="shared" ref="G23:J23" si="5">SUBTOTAL(9,G24:G25)</f>
        <v>0</v>
      </c>
      <c r="H23" s="17">
        <f t="shared" si="5"/>
        <v>0</v>
      </c>
      <c r="I23" s="17">
        <f t="shared" si="5"/>
        <v>0</v>
      </c>
      <c r="J23" s="17">
        <f t="shared" si="5"/>
        <v>0</v>
      </c>
      <c r="K23" s="14"/>
      <c r="N23" s="6"/>
    </row>
    <row r="24" spans="1:14" outlineLevel="2" x14ac:dyDescent="0.25">
      <c r="A24" s="221" t="s">
        <v>48</v>
      </c>
      <c r="B24" s="153">
        <f t="shared" si="0"/>
        <v>19</v>
      </c>
      <c r="C24" s="3" t="s">
        <v>44</v>
      </c>
      <c r="D24" s="12" t="s">
        <v>49</v>
      </c>
      <c r="E24" s="18">
        <f>Referatspläne!P3</f>
        <v>0</v>
      </c>
      <c r="F24" s="18">
        <f>Referatspläne!P2</f>
        <v>0</v>
      </c>
      <c r="G24" s="18"/>
      <c r="H24" s="18"/>
      <c r="I24" s="18"/>
      <c r="J24" s="18"/>
      <c r="K24" s="14"/>
      <c r="M24" s="6"/>
      <c r="N24" s="6"/>
    </row>
    <row r="25" spans="1:14" outlineLevel="2" x14ac:dyDescent="0.25">
      <c r="A25" s="221" t="s">
        <v>50</v>
      </c>
      <c r="B25" s="153">
        <f t="shared" si="0"/>
        <v>20</v>
      </c>
      <c r="C25" s="3" t="s">
        <v>44</v>
      </c>
      <c r="D25" s="3" t="s">
        <v>51</v>
      </c>
      <c r="E25" s="18">
        <v>0</v>
      </c>
      <c r="F25" s="18">
        <v>0</v>
      </c>
      <c r="G25" s="18"/>
      <c r="H25" s="18"/>
      <c r="I25" s="18"/>
      <c r="J25" s="18"/>
      <c r="K25" s="14"/>
      <c r="N25" s="6"/>
    </row>
    <row r="26" spans="1:14" outlineLevel="1" x14ac:dyDescent="0.25">
      <c r="B26" s="154">
        <f t="shared" si="0"/>
        <v>21</v>
      </c>
      <c r="H26" s="14"/>
      <c r="I26" s="14"/>
      <c r="J26" s="14"/>
      <c r="K26" s="14"/>
      <c r="M26" s="6"/>
      <c r="N26" s="6"/>
    </row>
    <row r="27" spans="1:14" outlineLevel="1" x14ac:dyDescent="0.25">
      <c r="A27" s="220" t="s">
        <v>52</v>
      </c>
      <c r="B27" s="152">
        <f t="shared" si="0"/>
        <v>22</v>
      </c>
      <c r="C27" s="4"/>
      <c r="D27" s="4" t="s">
        <v>53</v>
      </c>
      <c r="E27" s="17">
        <f>SUBTOTAL(9,E28:E30)</f>
        <v>17100</v>
      </c>
      <c r="F27" s="17">
        <f>SUBTOTAL(9,F28:F30)</f>
        <v>15375</v>
      </c>
      <c r="G27" s="17">
        <f t="shared" ref="G27:J27" si="6">SUBTOTAL(9,G28:G30)</f>
        <v>0</v>
      </c>
      <c r="H27" s="17">
        <f t="shared" si="6"/>
        <v>0</v>
      </c>
      <c r="I27" s="17">
        <f t="shared" si="6"/>
        <v>0</v>
      </c>
      <c r="J27" s="17">
        <f t="shared" si="6"/>
        <v>0</v>
      </c>
      <c r="K27" s="14"/>
      <c r="N27" s="6"/>
    </row>
    <row r="28" spans="1:14" outlineLevel="2" x14ac:dyDescent="0.25">
      <c r="A28" s="221" t="s">
        <v>54</v>
      </c>
      <c r="B28" s="153">
        <f t="shared" si="0"/>
        <v>23</v>
      </c>
      <c r="C28" s="3" t="s">
        <v>55</v>
      </c>
      <c r="D28" s="12" t="s">
        <v>56</v>
      </c>
      <c r="E28" s="18">
        <v>10800</v>
      </c>
      <c r="F28" s="18">
        <v>10875</v>
      </c>
      <c r="G28" s="18"/>
      <c r="H28" s="18"/>
      <c r="I28" s="18"/>
      <c r="J28" s="18"/>
      <c r="K28" s="14"/>
      <c r="M28" s="6"/>
      <c r="N28" s="6"/>
    </row>
    <row r="29" spans="1:14" outlineLevel="2" x14ac:dyDescent="0.25">
      <c r="A29" s="221" t="s">
        <v>57</v>
      </c>
      <c r="B29" s="153">
        <f t="shared" si="0"/>
        <v>24</v>
      </c>
      <c r="C29" s="3" t="s">
        <v>58</v>
      </c>
      <c r="D29" s="12" t="s">
        <v>59</v>
      </c>
      <c r="E29" s="18">
        <v>4800</v>
      </c>
      <c r="F29" s="18">
        <v>4500</v>
      </c>
      <c r="G29" s="18"/>
      <c r="H29" s="18"/>
      <c r="I29" s="18"/>
      <c r="J29" s="18"/>
      <c r="K29" s="14"/>
      <c r="N29" s="6"/>
    </row>
    <row r="30" spans="1:14" outlineLevel="2" x14ac:dyDescent="0.25">
      <c r="A30" s="221" t="s">
        <v>60</v>
      </c>
      <c r="B30" s="153">
        <f t="shared" si="0"/>
        <v>25</v>
      </c>
      <c r="C30" s="3" t="s">
        <v>44</v>
      </c>
      <c r="D30" s="12" t="s">
        <v>61</v>
      </c>
      <c r="E30" s="18">
        <v>1500</v>
      </c>
      <c r="F30" s="18">
        <v>0</v>
      </c>
      <c r="G30" s="18"/>
      <c r="H30" s="18"/>
      <c r="I30" s="18"/>
      <c r="J30" s="18"/>
      <c r="K30" s="14"/>
      <c r="M30" s="6"/>
      <c r="N30" s="6"/>
    </row>
    <row r="31" spans="1:14" outlineLevel="1" x14ac:dyDescent="0.25">
      <c r="B31" s="154">
        <f t="shared" si="0"/>
        <v>26</v>
      </c>
      <c r="H31" s="14"/>
      <c r="I31" s="14"/>
      <c r="J31" s="14"/>
      <c r="K31" s="14"/>
      <c r="N31" s="6"/>
    </row>
    <row r="32" spans="1:14" outlineLevel="1" x14ac:dyDescent="0.25">
      <c r="A32" s="220" t="s">
        <v>62</v>
      </c>
      <c r="B32" s="152">
        <f t="shared" si="0"/>
        <v>27</v>
      </c>
      <c r="C32" s="4"/>
      <c r="D32" s="4" t="s">
        <v>63</v>
      </c>
      <c r="E32" s="17">
        <f>SUBTOTAL(9,E33:E34)</f>
        <v>3600</v>
      </c>
      <c r="F32" s="17">
        <f>SUBTOTAL(9,F33:F34)</f>
        <v>7000</v>
      </c>
      <c r="G32" s="17">
        <f t="shared" ref="G32:J32" si="7">SUBTOTAL(9,G33:G34)</f>
        <v>5621.55</v>
      </c>
      <c r="H32" s="17">
        <f t="shared" si="7"/>
        <v>0</v>
      </c>
      <c r="I32" s="17">
        <f t="shared" si="7"/>
        <v>0</v>
      </c>
      <c r="J32" s="17">
        <f t="shared" si="7"/>
        <v>0</v>
      </c>
      <c r="K32" s="14"/>
      <c r="M32" s="6"/>
      <c r="N32" s="6"/>
    </row>
    <row r="33" spans="1:14" outlineLevel="3" x14ac:dyDescent="0.25">
      <c r="A33" s="221" t="s">
        <v>64</v>
      </c>
      <c r="B33" s="153">
        <f t="shared" si="0"/>
        <v>28</v>
      </c>
      <c r="C33" s="3" t="s">
        <v>62</v>
      </c>
      <c r="D33" s="3" t="s">
        <v>65</v>
      </c>
      <c r="E33" s="18">
        <v>3600</v>
      </c>
      <c r="F33" s="18">
        <v>7000</v>
      </c>
      <c r="G33" s="18">
        <f>VLOOKUP("182.00",HHJ_2021_2022!A6:T27,18,TRUE)</f>
        <v>5621.55</v>
      </c>
      <c r="H33" s="18"/>
      <c r="I33" s="18"/>
      <c r="J33" s="18"/>
      <c r="K33" s="14"/>
      <c r="N33" s="6"/>
    </row>
    <row r="34" spans="1:14" outlineLevel="3" x14ac:dyDescent="0.25">
      <c r="A34" s="221" t="s">
        <v>66</v>
      </c>
      <c r="B34" s="153">
        <f t="shared" si="0"/>
        <v>29</v>
      </c>
      <c r="C34" s="3" t="s">
        <v>44</v>
      </c>
      <c r="D34" s="3" t="s">
        <v>67</v>
      </c>
      <c r="E34" s="18">
        <v>0</v>
      </c>
      <c r="F34" s="18">
        <v>0</v>
      </c>
      <c r="G34" s="18"/>
      <c r="H34" s="18"/>
      <c r="I34" s="18"/>
      <c r="J34" s="18"/>
      <c r="K34" s="14"/>
      <c r="L34" t="s">
        <v>1277</v>
      </c>
      <c r="M34" s="6"/>
      <c r="N34" s="6"/>
    </row>
    <row r="35" spans="1:14" x14ac:dyDescent="0.25">
      <c r="B35" s="154">
        <f t="shared" si="0"/>
        <v>30</v>
      </c>
      <c r="H35" s="14"/>
      <c r="I35" s="14"/>
      <c r="J35" s="14"/>
      <c r="K35" s="14"/>
      <c r="N35" s="6"/>
    </row>
    <row r="36" spans="1:14" x14ac:dyDescent="0.25">
      <c r="A36" s="160" t="s">
        <v>68</v>
      </c>
      <c r="B36" s="151">
        <f t="shared" si="0"/>
        <v>31</v>
      </c>
      <c r="C36" s="2"/>
      <c r="D36" s="2" t="s">
        <v>69</v>
      </c>
      <c r="E36" s="23">
        <f>E37+E44+E51</f>
        <v>146529.5</v>
      </c>
      <c r="F36" s="23">
        <f>F37+F44+F51</f>
        <v>85000</v>
      </c>
      <c r="G36" s="23">
        <f t="shared" ref="G36:J36" si="8">G37+G44+G51</f>
        <v>53471</v>
      </c>
      <c r="H36" s="23">
        <f t="shared" si="8"/>
        <v>0</v>
      </c>
      <c r="I36" s="23">
        <f t="shared" si="8"/>
        <v>0</v>
      </c>
      <c r="J36" s="23">
        <f t="shared" si="8"/>
        <v>0</v>
      </c>
      <c r="K36" s="14"/>
      <c r="M36" s="6"/>
      <c r="N36" s="6"/>
    </row>
    <row r="37" spans="1:14" outlineLevel="1" x14ac:dyDescent="0.25">
      <c r="A37" s="220" t="s">
        <v>70</v>
      </c>
      <c r="B37" s="152">
        <f t="shared" si="0"/>
        <v>32</v>
      </c>
      <c r="C37" s="4"/>
      <c r="D37" s="4" t="s">
        <v>71</v>
      </c>
      <c r="E37" s="17">
        <f>SUBTOTAL(9,E38:E42)</f>
        <v>145329.5</v>
      </c>
      <c r="F37" s="17">
        <f>SUBTOTAL(9,F38:F42)</f>
        <v>85000</v>
      </c>
      <c r="G37" s="17">
        <f t="shared" ref="G37:J37" si="9">SUBTOTAL(9,G38:G42)</f>
        <v>53471</v>
      </c>
      <c r="H37" s="17">
        <f t="shared" si="9"/>
        <v>0</v>
      </c>
      <c r="I37" s="17">
        <f t="shared" si="9"/>
        <v>0</v>
      </c>
      <c r="J37" s="17">
        <f t="shared" si="9"/>
        <v>0</v>
      </c>
      <c r="K37" s="14"/>
      <c r="N37" s="6"/>
    </row>
    <row r="38" spans="1:14" outlineLevel="2" x14ac:dyDescent="0.25">
      <c r="A38" s="221" t="s">
        <v>72</v>
      </c>
      <c r="B38" s="153">
        <f t="shared" si="0"/>
        <v>33</v>
      </c>
      <c r="C38" s="3" t="s">
        <v>37</v>
      </c>
      <c r="D38" s="12" t="s">
        <v>73</v>
      </c>
      <c r="E38" s="18">
        <f>[1]WiWi!E5</f>
        <v>56381</v>
      </c>
      <c r="F38" s="18">
        <f>[1]WiWi!G5</f>
        <v>23000</v>
      </c>
      <c r="G38" s="18">
        <f>VLOOKUP("129.10",HHJ_2021_2022!A6:T27,18,TRUE)</f>
        <v>31015</v>
      </c>
      <c r="H38" s="18"/>
      <c r="I38" s="18"/>
      <c r="J38" s="18"/>
      <c r="K38" s="14"/>
      <c r="M38" s="6"/>
      <c r="N38" s="6"/>
    </row>
    <row r="39" spans="1:14" outlineLevel="2" x14ac:dyDescent="0.25">
      <c r="A39" s="221" t="s">
        <v>74</v>
      </c>
      <c r="B39" s="153">
        <f t="shared" si="0"/>
        <v>34</v>
      </c>
      <c r="C39" s="3" t="s">
        <v>40</v>
      </c>
      <c r="D39" s="12" t="s">
        <v>75</v>
      </c>
      <c r="E39" s="18">
        <f>KSW!E5</f>
        <v>10576</v>
      </c>
      <c r="F39" s="18">
        <f>KSW!G5</f>
        <v>1500</v>
      </c>
      <c r="G39" s="18">
        <f>VLOOKUP("129.20",HHJ_2021_2022!A7:T28,18,TRUE)</f>
        <v>20</v>
      </c>
      <c r="H39" s="18"/>
      <c r="I39" s="18"/>
      <c r="J39" s="18"/>
      <c r="K39" s="14"/>
      <c r="N39" s="6"/>
    </row>
    <row r="40" spans="1:14" outlineLevel="2" x14ac:dyDescent="0.25">
      <c r="A40" s="221" t="s">
        <v>76</v>
      </c>
      <c r="B40" s="153">
        <f t="shared" si="0"/>
        <v>35</v>
      </c>
      <c r="C40" s="3" t="s">
        <v>77</v>
      </c>
      <c r="D40" s="12" t="s">
        <v>78</v>
      </c>
      <c r="E40" s="18">
        <f>PSY!E5</f>
        <v>29222</v>
      </c>
      <c r="F40" s="18">
        <f>PSY!G5</f>
        <v>24000</v>
      </c>
      <c r="G40" s="18">
        <f>VLOOKUP("129.60",HHJ_2021_2022!A6:T27,18,TRUE)</f>
        <v>22436</v>
      </c>
      <c r="H40" s="18"/>
      <c r="I40" s="18"/>
      <c r="J40" s="18"/>
      <c r="K40" s="14"/>
      <c r="M40" s="6"/>
      <c r="N40" s="6"/>
    </row>
    <row r="41" spans="1:14" outlineLevel="2" x14ac:dyDescent="0.25">
      <c r="A41" s="221" t="s">
        <v>79</v>
      </c>
      <c r="B41" s="153">
        <f t="shared" si="0"/>
        <v>36</v>
      </c>
      <c r="C41" s="3" t="s">
        <v>80</v>
      </c>
      <c r="D41" s="12" t="s">
        <v>81</v>
      </c>
      <c r="E41" s="18">
        <f>ReWi!E5</f>
        <v>29578</v>
      </c>
      <c r="F41" s="18">
        <f>ReWi!G5</f>
        <v>32000</v>
      </c>
      <c r="G41" s="18"/>
      <c r="H41" s="18"/>
      <c r="I41" s="18"/>
      <c r="J41" s="18"/>
      <c r="K41" s="14"/>
      <c r="N41" s="6"/>
    </row>
    <row r="42" spans="1:14" outlineLevel="2" x14ac:dyDescent="0.25">
      <c r="A42" s="221" t="s">
        <v>82</v>
      </c>
      <c r="B42" s="153">
        <f t="shared" si="0"/>
        <v>37</v>
      </c>
      <c r="C42" s="3" t="s">
        <v>43</v>
      </c>
      <c r="D42" s="12" t="s">
        <v>83</v>
      </c>
      <c r="E42" s="18">
        <f>M_I!E5</f>
        <v>19572.5</v>
      </c>
      <c r="F42" s="18">
        <f>M_I!G5</f>
        <v>4500</v>
      </c>
      <c r="G42" s="18"/>
      <c r="H42" s="18"/>
      <c r="I42" s="18"/>
      <c r="J42" s="18"/>
      <c r="K42" s="14"/>
      <c r="M42" s="6"/>
      <c r="N42" s="6"/>
    </row>
    <row r="43" spans="1:14" outlineLevel="1" x14ac:dyDescent="0.25">
      <c r="B43" s="154">
        <f t="shared" si="0"/>
        <v>38</v>
      </c>
      <c r="H43" s="14"/>
      <c r="I43" s="14"/>
      <c r="J43" s="14"/>
      <c r="K43" s="14"/>
      <c r="N43" s="6"/>
    </row>
    <row r="44" spans="1:14" outlineLevel="1" x14ac:dyDescent="0.25">
      <c r="A44" s="220" t="s">
        <v>84</v>
      </c>
      <c r="B44" s="152">
        <f t="shared" si="0"/>
        <v>39</v>
      </c>
      <c r="C44" s="4"/>
      <c r="D44" s="4" t="s">
        <v>85</v>
      </c>
      <c r="E44" s="17">
        <f>SUBTOTAL(9,E45:E49)</f>
        <v>1200</v>
      </c>
      <c r="F44" s="17">
        <f>SUBTOTAL(9,F45:F49)</f>
        <v>0</v>
      </c>
      <c r="G44" s="17">
        <f t="shared" ref="G44:J44" si="10">SUBTOTAL(9,G45:G49)</f>
        <v>0</v>
      </c>
      <c r="H44" s="17">
        <f t="shared" si="10"/>
        <v>0</v>
      </c>
      <c r="I44" s="17">
        <f t="shared" si="10"/>
        <v>0</v>
      </c>
      <c r="J44" s="17">
        <f t="shared" si="10"/>
        <v>0</v>
      </c>
      <c r="K44" s="14"/>
      <c r="M44" s="6"/>
      <c r="N44" s="6"/>
    </row>
    <row r="45" spans="1:14" outlineLevel="2" x14ac:dyDescent="0.25">
      <c r="A45" s="221" t="s">
        <v>86</v>
      </c>
      <c r="B45" s="153">
        <f t="shared" si="0"/>
        <v>40</v>
      </c>
      <c r="C45" s="3" t="s">
        <v>44</v>
      </c>
      <c r="D45" s="12" t="s">
        <v>73</v>
      </c>
      <c r="E45" s="18">
        <f>[1]WiWi!E6</f>
        <v>0</v>
      </c>
      <c r="F45" s="18">
        <f>[1]WiWi!G6</f>
        <v>0</v>
      </c>
      <c r="G45" s="18"/>
      <c r="H45" s="18"/>
      <c r="I45" s="18"/>
      <c r="J45" s="18"/>
      <c r="K45" s="14"/>
      <c r="N45" s="6"/>
    </row>
    <row r="46" spans="1:14" outlineLevel="2" x14ac:dyDescent="0.25">
      <c r="A46" s="221" t="s">
        <v>87</v>
      </c>
      <c r="B46" s="153">
        <f t="shared" si="0"/>
        <v>41</v>
      </c>
      <c r="C46" s="3" t="s">
        <v>44</v>
      </c>
      <c r="D46" s="12" t="s">
        <v>75</v>
      </c>
      <c r="E46" s="18">
        <f>KSW!E6</f>
        <v>1200</v>
      </c>
      <c r="F46" s="18">
        <f>KSW!G6</f>
        <v>0</v>
      </c>
      <c r="G46" s="18"/>
      <c r="H46" s="18"/>
      <c r="I46" s="18"/>
      <c r="J46" s="18"/>
      <c r="K46" s="14"/>
      <c r="M46" s="6"/>
      <c r="N46" s="6"/>
    </row>
    <row r="47" spans="1:14" outlineLevel="2" x14ac:dyDescent="0.25">
      <c r="A47" s="221" t="s">
        <v>88</v>
      </c>
      <c r="B47" s="153">
        <f t="shared" si="0"/>
        <v>42</v>
      </c>
      <c r="C47" s="3" t="s">
        <v>44</v>
      </c>
      <c r="D47" s="12" t="s">
        <v>78</v>
      </c>
      <c r="E47" s="18">
        <f>PSY!E6</f>
        <v>0</v>
      </c>
      <c r="F47" s="18">
        <f>PSY!G6</f>
        <v>0</v>
      </c>
      <c r="G47" s="18"/>
      <c r="H47" s="18"/>
      <c r="I47" s="18"/>
      <c r="J47" s="18"/>
      <c r="K47" s="14"/>
      <c r="N47" s="6"/>
    </row>
    <row r="48" spans="1:14" outlineLevel="2" x14ac:dyDescent="0.25">
      <c r="A48" s="221" t="s">
        <v>89</v>
      </c>
      <c r="B48" s="153">
        <f t="shared" si="0"/>
        <v>43</v>
      </c>
      <c r="C48" s="3" t="s">
        <v>44</v>
      </c>
      <c r="D48" s="12" t="s">
        <v>81</v>
      </c>
      <c r="E48" s="18">
        <f>ReWi!E6</f>
        <v>0</v>
      </c>
      <c r="F48" s="18">
        <f>ReWi!G6</f>
        <v>0</v>
      </c>
      <c r="G48" s="18"/>
      <c r="H48" s="18"/>
      <c r="I48" s="18"/>
      <c r="J48" s="18"/>
      <c r="K48" s="14"/>
      <c r="M48" s="6"/>
      <c r="N48" s="6"/>
    </row>
    <row r="49" spans="1:14" outlineLevel="2" x14ac:dyDescent="0.25">
      <c r="A49" s="221" t="s">
        <v>90</v>
      </c>
      <c r="B49" s="153">
        <f t="shared" si="0"/>
        <v>44</v>
      </c>
      <c r="C49" s="3" t="s">
        <v>44</v>
      </c>
      <c r="D49" s="12" t="s">
        <v>83</v>
      </c>
      <c r="E49" s="18">
        <f>M_I!E6</f>
        <v>0</v>
      </c>
      <c r="F49" s="18">
        <f>M_I!G6</f>
        <v>0</v>
      </c>
      <c r="G49" s="18"/>
      <c r="H49" s="18"/>
      <c r="I49" s="18"/>
      <c r="J49" s="18"/>
      <c r="K49" s="14"/>
      <c r="N49" s="6"/>
    </row>
    <row r="50" spans="1:14" outlineLevel="1" x14ac:dyDescent="0.25">
      <c r="B50" s="154">
        <f t="shared" si="0"/>
        <v>45</v>
      </c>
      <c r="H50" s="14"/>
      <c r="I50" s="14"/>
      <c r="J50" s="14"/>
      <c r="K50" s="14"/>
      <c r="M50" s="6"/>
      <c r="N50" s="6"/>
    </row>
    <row r="51" spans="1:14" outlineLevel="1" x14ac:dyDescent="0.25">
      <c r="A51" s="220" t="s">
        <v>91</v>
      </c>
      <c r="B51" s="152">
        <f t="shared" si="0"/>
        <v>46</v>
      </c>
      <c r="C51" s="4"/>
      <c r="D51" s="4" t="s">
        <v>92</v>
      </c>
      <c r="E51" s="17">
        <f>SUBTOTAL(9,E52:E56)</f>
        <v>0</v>
      </c>
      <c r="F51" s="17">
        <f>SUBTOTAL(9,F52:F56)</f>
        <v>0</v>
      </c>
      <c r="G51" s="17">
        <f t="shared" ref="G51:J51" si="11">SUBTOTAL(9,G52:G56)</f>
        <v>0</v>
      </c>
      <c r="H51" s="17">
        <f t="shared" si="11"/>
        <v>0</v>
      </c>
      <c r="I51" s="17">
        <f t="shared" si="11"/>
        <v>0</v>
      </c>
      <c r="J51" s="17">
        <f t="shared" si="11"/>
        <v>0</v>
      </c>
      <c r="K51" s="14"/>
      <c r="N51" s="6"/>
    </row>
    <row r="52" spans="1:14" outlineLevel="2" x14ac:dyDescent="0.25">
      <c r="A52" s="221" t="s">
        <v>93</v>
      </c>
      <c r="B52" s="153">
        <f t="shared" si="0"/>
        <v>47</v>
      </c>
      <c r="C52" s="3" t="s">
        <v>44</v>
      </c>
      <c r="D52" s="12" t="s">
        <v>73</v>
      </c>
      <c r="E52" s="18">
        <f>[1]WiWi!E7</f>
        <v>0</v>
      </c>
      <c r="F52" s="18">
        <f>[1]WiWi!G7</f>
        <v>0</v>
      </c>
      <c r="G52" s="18"/>
      <c r="H52" s="18"/>
      <c r="I52" s="18"/>
      <c r="J52" s="18"/>
      <c r="K52" s="14"/>
      <c r="M52" s="6"/>
      <c r="N52" s="6"/>
    </row>
    <row r="53" spans="1:14" outlineLevel="2" x14ac:dyDescent="0.25">
      <c r="A53" s="221" t="s">
        <v>94</v>
      </c>
      <c r="B53" s="153">
        <f t="shared" si="0"/>
        <v>48</v>
      </c>
      <c r="C53" s="3" t="s">
        <v>44</v>
      </c>
      <c r="D53" s="12" t="s">
        <v>75</v>
      </c>
      <c r="E53" s="18">
        <f>KSW!E7</f>
        <v>0</v>
      </c>
      <c r="F53" s="18">
        <f>KSW!G7</f>
        <v>0</v>
      </c>
      <c r="G53" s="18"/>
      <c r="H53" s="18"/>
      <c r="I53" s="18"/>
      <c r="J53" s="18"/>
      <c r="K53" s="14"/>
      <c r="N53" s="6"/>
    </row>
    <row r="54" spans="1:14" outlineLevel="2" x14ac:dyDescent="0.25">
      <c r="A54" s="221" t="s">
        <v>95</v>
      </c>
      <c r="B54" s="153">
        <f t="shared" si="0"/>
        <v>49</v>
      </c>
      <c r="C54" s="3" t="s">
        <v>44</v>
      </c>
      <c r="D54" s="12" t="s">
        <v>78</v>
      </c>
      <c r="E54" s="18">
        <f>PSY!E7</f>
        <v>0</v>
      </c>
      <c r="F54" s="18">
        <f>PSY!G7</f>
        <v>0</v>
      </c>
      <c r="G54" s="18"/>
      <c r="H54" s="18"/>
      <c r="I54" s="18"/>
      <c r="J54" s="18"/>
      <c r="K54" s="14"/>
      <c r="M54" s="6"/>
      <c r="N54" s="6"/>
    </row>
    <row r="55" spans="1:14" outlineLevel="2" x14ac:dyDescent="0.25">
      <c r="A55" s="221" t="s">
        <v>96</v>
      </c>
      <c r="B55" s="153">
        <f t="shared" si="0"/>
        <v>50</v>
      </c>
      <c r="C55" s="3" t="s">
        <v>44</v>
      </c>
      <c r="D55" s="12" t="s">
        <v>81</v>
      </c>
      <c r="E55" s="18">
        <f>ReWi!E7</f>
        <v>0</v>
      </c>
      <c r="F55" s="18">
        <f>ReWi!G7</f>
        <v>0</v>
      </c>
      <c r="G55" s="18"/>
      <c r="H55" s="18"/>
      <c r="I55" s="18"/>
      <c r="J55" s="18"/>
      <c r="K55" s="14"/>
      <c r="N55" s="6"/>
    </row>
    <row r="56" spans="1:14" outlineLevel="2" x14ac:dyDescent="0.25">
      <c r="A56" s="221" t="s">
        <v>97</v>
      </c>
      <c r="B56" s="153">
        <f t="shared" si="0"/>
        <v>51</v>
      </c>
      <c r="C56" s="3" t="s">
        <v>44</v>
      </c>
      <c r="D56" s="12" t="s">
        <v>83</v>
      </c>
      <c r="E56" s="18">
        <f>M_I!E7</f>
        <v>0</v>
      </c>
      <c r="F56" s="18">
        <f>M_I!G7</f>
        <v>0</v>
      </c>
      <c r="G56" s="18"/>
      <c r="H56" s="18"/>
      <c r="I56" s="18"/>
      <c r="J56" s="18"/>
      <c r="K56" s="14"/>
      <c r="M56" s="6"/>
      <c r="N56" s="6"/>
    </row>
    <row r="57" spans="1:14" outlineLevel="1" x14ac:dyDescent="0.25">
      <c r="B57" s="154">
        <f t="shared" si="0"/>
        <v>52</v>
      </c>
      <c r="H57" s="14"/>
      <c r="I57" s="14"/>
      <c r="J57" s="14"/>
      <c r="K57" s="14"/>
      <c r="N57" s="6"/>
    </row>
    <row r="58" spans="1:14" outlineLevel="1" x14ac:dyDescent="0.25">
      <c r="B58" s="154">
        <f>ROW(B53)</f>
        <v>53</v>
      </c>
      <c r="H58" s="14"/>
      <c r="I58" s="14"/>
      <c r="J58" s="14"/>
      <c r="K58" s="14"/>
      <c r="M58" s="6"/>
      <c r="N58" s="6"/>
    </row>
    <row r="59" spans="1:14" x14ac:dyDescent="0.25">
      <c r="B59" s="154">
        <f>ROW(B54)</f>
        <v>54</v>
      </c>
      <c r="H59" s="14"/>
      <c r="I59" s="14"/>
      <c r="J59" s="14"/>
      <c r="K59" s="14"/>
      <c r="N59" s="6"/>
    </row>
    <row r="60" spans="1:14" x14ac:dyDescent="0.25">
      <c r="A60" s="160" t="s">
        <v>98</v>
      </c>
      <c r="B60" s="151">
        <f>ROW(B54)</f>
        <v>54</v>
      </c>
      <c r="C60" s="2"/>
      <c r="D60" s="2" t="s">
        <v>99</v>
      </c>
      <c r="E60" s="23">
        <f>E61+E66</f>
        <v>345497.78</v>
      </c>
      <c r="F60" s="23">
        <f>F61+F66</f>
        <v>795000</v>
      </c>
      <c r="G60" s="23">
        <f t="shared" ref="G60:J60" si="12">G61+G66</f>
        <v>807186.09</v>
      </c>
      <c r="H60" s="23">
        <f t="shared" si="12"/>
        <v>0</v>
      </c>
      <c r="I60" s="23">
        <f t="shared" si="12"/>
        <v>0</v>
      </c>
      <c r="J60" s="23">
        <f t="shared" si="12"/>
        <v>0</v>
      </c>
      <c r="K60" s="14"/>
      <c r="M60" s="6"/>
      <c r="N60" s="6"/>
    </row>
    <row r="61" spans="1:14" outlineLevel="1" x14ac:dyDescent="0.25">
      <c r="A61" s="220" t="s">
        <v>100</v>
      </c>
      <c r="B61" s="152">
        <f>ROW(B55)</f>
        <v>55</v>
      </c>
      <c r="C61" s="4"/>
      <c r="D61" s="4" t="s">
        <v>101</v>
      </c>
      <c r="E61" s="17">
        <f>SUBTOTAL(9,E62:E64)</f>
        <v>60000</v>
      </c>
      <c r="F61" s="17">
        <f>SUBTOTAL(9,F62:F64)</f>
        <v>195000</v>
      </c>
      <c r="G61" s="17">
        <f t="shared" ref="G61:J61" si="13">SUBTOTAL(9,G62:G64)</f>
        <v>0</v>
      </c>
      <c r="H61" s="17">
        <f t="shared" si="13"/>
        <v>0</v>
      </c>
      <c r="I61" s="17">
        <f t="shared" si="13"/>
        <v>0</v>
      </c>
      <c r="J61" s="17">
        <f t="shared" si="13"/>
        <v>0</v>
      </c>
      <c r="K61" s="14"/>
      <c r="N61" s="6"/>
    </row>
    <row r="62" spans="1:14" outlineLevel="2" x14ac:dyDescent="0.25">
      <c r="A62" s="221" t="s">
        <v>102</v>
      </c>
      <c r="B62" s="153">
        <f>ROW(B56)</f>
        <v>56</v>
      </c>
      <c r="C62" s="3" t="s">
        <v>100</v>
      </c>
      <c r="D62" s="3" t="s">
        <v>103</v>
      </c>
      <c r="E62" s="18">
        <v>0</v>
      </c>
      <c r="F62" s="18">
        <v>0</v>
      </c>
      <c r="G62" s="18"/>
      <c r="H62" s="18"/>
      <c r="I62" s="18"/>
      <c r="J62" s="18"/>
      <c r="K62" s="14"/>
      <c r="M62" s="6"/>
      <c r="N62" s="6"/>
    </row>
    <row r="63" spans="1:14" outlineLevel="2" x14ac:dyDescent="0.25">
      <c r="A63" s="221" t="s">
        <v>104</v>
      </c>
      <c r="B63" s="153">
        <f>ROW(B57)</f>
        <v>57</v>
      </c>
      <c r="C63" s="3" t="s">
        <v>105</v>
      </c>
      <c r="D63" s="3" t="s">
        <v>106</v>
      </c>
      <c r="E63" s="18">
        <v>0</v>
      </c>
      <c r="F63" s="18">
        <v>195000</v>
      </c>
      <c r="G63" s="18"/>
      <c r="H63" s="18"/>
      <c r="I63" s="18"/>
      <c r="J63" s="18"/>
      <c r="K63" s="14"/>
      <c r="N63" s="6"/>
    </row>
    <row r="64" spans="1:14" outlineLevel="2" x14ac:dyDescent="0.25">
      <c r="A64" s="221" t="s">
        <v>107</v>
      </c>
      <c r="B64" s="153">
        <f>ROW(B58)</f>
        <v>58</v>
      </c>
      <c r="C64" s="3" t="s">
        <v>44</v>
      </c>
      <c r="D64" s="3" t="s">
        <v>108</v>
      </c>
      <c r="E64" s="18">
        <v>60000</v>
      </c>
      <c r="F64" s="18">
        <v>0</v>
      </c>
      <c r="G64" s="18"/>
      <c r="H64" s="18"/>
      <c r="I64" s="18"/>
      <c r="J64" s="18"/>
      <c r="K64" s="14"/>
      <c r="M64" s="6"/>
      <c r="N64" s="6"/>
    </row>
    <row r="65" spans="1:14" outlineLevel="1" x14ac:dyDescent="0.25">
      <c r="B65" s="154">
        <f t="shared" si="0"/>
        <v>60</v>
      </c>
      <c r="H65" s="14"/>
      <c r="I65" s="14"/>
      <c r="J65" s="14"/>
      <c r="K65" s="14"/>
      <c r="N65" s="6"/>
    </row>
    <row r="66" spans="1:14" outlineLevel="1" x14ac:dyDescent="0.25">
      <c r="A66" s="220" t="s">
        <v>109</v>
      </c>
      <c r="B66" s="152">
        <f t="shared" ref="B66:B127" si="14">ROW(B61)</f>
        <v>61</v>
      </c>
      <c r="C66" s="4"/>
      <c r="D66" s="4" t="s">
        <v>110</v>
      </c>
      <c r="E66" s="17">
        <f>SUBTOTAL(9,E67:E69)</f>
        <v>285497.78000000003</v>
      </c>
      <c r="F66" s="17">
        <f>SUBTOTAL(9,F67:F69)</f>
        <v>600000</v>
      </c>
      <c r="G66" s="17">
        <f t="shared" ref="G66:J66" si="15">SUBTOTAL(9,G67:G69)</f>
        <v>807186.09</v>
      </c>
      <c r="H66" s="17">
        <f t="shared" si="15"/>
        <v>0</v>
      </c>
      <c r="I66" s="17">
        <f t="shared" si="15"/>
        <v>0</v>
      </c>
      <c r="J66" s="17">
        <f t="shared" si="15"/>
        <v>0</v>
      </c>
      <c r="K66" s="14"/>
      <c r="M66" s="6"/>
      <c r="N66" s="6"/>
    </row>
    <row r="67" spans="1:14" outlineLevel="2" x14ac:dyDescent="0.25">
      <c r="A67" s="221" t="s">
        <v>111</v>
      </c>
      <c r="B67" s="153">
        <f t="shared" si="14"/>
        <v>62</v>
      </c>
      <c r="C67" s="3" t="s">
        <v>109</v>
      </c>
      <c r="D67" s="3" t="s">
        <v>112</v>
      </c>
      <c r="E67" s="18">
        <v>285497.78000000003</v>
      </c>
      <c r="F67" s="18">
        <v>600000</v>
      </c>
      <c r="G67" s="18">
        <v>807186.09</v>
      </c>
      <c r="H67" s="18"/>
      <c r="I67" s="18"/>
      <c r="J67" s="18"/>
      <c r="K67" s="14"/>
      <c r="N67" s="6"/>
    </row>
    <row r="68" spans="1:14" outlineLevel="2" x14ac:dyDescent="0.25">
      <c r="A68" s="221" t="s">
        <v>113</v>
      </c>
      <c r="B68" s="153">
        <f t="shared" si="14"/>
        <v>63</v>
      </c>
      <c r="C68" s="3" t="s">
        <v>44</v>
      </c>
      <c r="D68" s="3" t="s">
        <v>114</v>
      </c>
      <c r="E68" s="18">
        <v>0</v>
      </c>
      <c r="F68" s="18">
        <v>0</v>
      </c>
      <c r="G68" s="18"/>
      <c r="H68" s="18"/>
      <c r="I68" s="18"/>
      <c r="J68" s="18"/>
      <c r="K68" s="14"/>
      <c r="M68" s="6"/>
      <c r="N68" s="6"/>
    </row>
    <row r="69" spans="1:14" outlineLevel="1" x14ac:dyDescent="0.25">
      <c r="B69" s="154">
        <f t="shared" si="14"/>
        <v>64</v>
      </c>
      <c r="H69" s="14"/>
      <c r="I69" s="14"/>
      <c r="J69" s="14"/>
      <c r="K69" s="14"/>
      <c r="N69" s="6"/>
    </row>
    <row r="70" spans="1:14" outlineLevel="1" x14ac:dyDescent="0.25">
      <c r="A70" s="220" t="s">
        <v>115</v>
      </c>
      <c r="B70" s="152">
        <f t="shared" si="14"/>
        <v>65</v>
      </c>
      <c r="C70" s="4"/>
      <c r="D70" s="4" t="s">
        <v>116</v>
      </c>
      <c r="E70" s="17">
        <f>SUBTOTAL(9,E71:E72)</f>
        <v>0</v>
      </c>
      <c r="F70" s="17">
        <f>SUBTOTAL(9,F71:F72)</f>
        <v>0</v>
      </c>
      <c r="G70" s="17">
        <f t="shared" ref="G70:J70" si="16">SUBTOTAL(9,G71:G72)</f>
        <v>0</v>
      </c>
      <c r="H70" s="17">
        <f t="shared" si="16"/>
        <v>0</v>
      </c>
      <c r="I70" s="17">
        <f t="shared" si="16"/>
        <v>0</v>
      </c>
      <c r="J70" s="17">
        <f t="shared" si="16"/>
        <v>0</v>
      </c>
      <c r="K70" s="14"/>
      <c r="M70" s="6"/>
      <c r="N70" s="6"/>
    </row>
    <row r="71" spans="1:14" outlineLevel="1" x14ac:dyDescent="0.25">
      <c r="A71" s="221" t="s">
        <v>117</v>
      </c>
      <c r="B71" s="153">
        <f t="shared" si="14"/>
        <v>66</v>
      </c>
      <c r="C71" s="3" t="s">
        <v>44</v>
      </c>
      <c r="D71" s="3" t="s">
        <v>118</v>
      </c>
      <c r="E71" s="18">
        <v>0</v>
      </c>
      <c r="F71" s="18">
        <v>0</v>
      </c>
      <c r="G71" s="18">
        <v>0</v>
      </c>
      <c r="H71" s="18">
        <v>0</v>
      </c>
      <c r="I71" s="18">
        <v>0</v>
      </c>
      <c r="J71" s="18">
        <v>0</v>
      </c>
      <c r="K71" s="14"/>
      <c r="N71" s="6"/>
    </row>
    <row r="72" spans="1:14" outlineLevel="1" x14ac:dyDescent="0.25">
      <c r="A72" s="221" t="s">
        <v>119</v>
      </c>
      <c r="B72" s="153">
        <f t="shared" si="14"/>
        <v>67</v>
      </c>
      <c r="C72" s="3" t="s">
        <v>46</v>
      </c>
      <c r="D72" s="3" t="s">
        <v>120</v>
      </c>
      <c r="E72" s="18">
        <v>0</v>
      </c>
      <c r="F72" s="18">
        <v>0</v>
      </c>
      <c r="G72" s="18">
        <v>0</v>
      </c>
      <c r="H72" s="18">
        <v>0</v>
      </c>
      <c r="I72" s="18">
        <v>0</v>
      </c>
      <c r="J72" s="18">
        <v>0</v>
      </c>
      <c r="K72" s="14"/>
      <c r="M72" s="6"/>
      <c r="N72" s="6"/>
    </row>
    <row r="73" spans="1:14" x14ac:dyDescent="0.25">
      <c r="B73" s="154">
        <f t="shared" si="14"/>
        <v>68</v>
      </c>
      <c r="H73" s="14"/>
      <c r="I73" s="14"/>
      <c r="J73" s="14"/>
      <c r="K73" s="14"/>
      <c r="N73" s="6"/>
    </row>
    <row r="74" spans="1:14" x14ac:dyDescent="0.25">
      <c r="B74" s="154">
        <f>ROW(B70)</f>
        <v>70</v>
      </c>
      <c r="D74" s="160" t="s">
        <v>121</v>
      </c>
      <c r="E74" s="23">
        <f>E6+E36+E60</f>
        <v>1568977.28</v>
      </c>
      <c r="F74" s="23">
        <f>F6+F36+F60</f>
        <v>1480000</v>
      </c>
      <c r="G74" s="23"/>
      <c r="H74" s="23"/>
      <c r="I74" s="23"/>
      <c r="J74" s="23"/>
      <c r="K74" s="14"/>
      <c r="M74" s="6"/>
      <c r="N74" s="6"/>
    </row>
    <row r="75" spans="1:14" x14ac:dyDescent="0.25">
      <c r="B75" s="154">
        <f>ROW(B71)</f>
        <v>71</v>
      </c>
      <c r="H75" s="14"/>
      <c r="I75" s="14"/>
      <c r="J75" s="14"/>
      <c r="K75" s="14"/>
      <c r="N75" s="6"/>
    </row>
    <row r="76" spans="1:14" ht="15.75" x14ac:dyDescent="0.25">
      <c r="A76" s="87" t="s">
        <v>122</v>
      </c>
      <c r="B76" s="150">
        <f>ROW(B72)</f>
        <v>72</v>
      </c>
      <c r="C76" s="7"/>
      <c r="H76" s="14"/>
      <c r="I76" s="14"/>
      <c r="J76" s="14"/>
      <c r="K76" s="14"/>
      <c r="M76" s="6"/>
      <c r="N76" s="6"/>
    </row>
    <row r="77" spans="1:14" x14ac:dyDescent="0.25">
      <c r="B77" s="154">
        <f>ROW(B73)</f>
        <v>73</v>
      </c>
      <c r="H77" s="14"/>
      <c r="I77" s="14"/>
      <c r="J77" s="14"/>
      <c r="K77" s="14"/>
      <c r="N77" s="6"/>
    </row>
    <row r="78" spans="1:14" x14ac:dyDescent="0.25">
      <c r="A78" s="161" t="s">
        <v>123</v>
      </c>
      <c r="B78" s="155" t="e">
        <f>ROW(#REF!)</f>
        <v>#REF!</v>
      </c>
      <c r="C78" s="8"/>
      <c r="D78" s="8" t="s">
        <v>124</v>
      </c>
      <c r="E78" s="19">
        <f>SUBTOTAL(9,E80:E113)</f>
        <v>498755</v>
      </c>
      <c r="F78" s="19">
        <f>SUBTOTAL(9,F80:F113)</f>
        <v>460235</v>
      </c>
      <c r="G78" s="19"/>
      <c r="H78" s="19"/>
      <c r="I78" s="19"/>
      <c r="J78" s="19"/>
      <c r="K78" s="14"/>
      <c r="M78" s="6"/>
      <c r="N78" s="6"/>
    </row>
    <row r="79" spans="1:14" outlineLevel="1" x14ac:dyDescent="0.25">
      <c r="A79" s="223" t="s">
        <v>125</v>
      </c>
      <c r="B79" s="156">
        <f t="shared" si="14"/>
        <v>74</v>
      </c>
      <c r="C79" s="9"/>
      <c r="D79" s="9" t="s">
        <v>126</v>
      </c>
      <c r="E79" s="20">
        <f>SUBTOTAL(9,E80:E84)</f>
        <v>83690</v>
      </c>
      <c r="F79" s="20">
        <f>SUBTOTAL(9,F80:F84)</f>
        <v>70250</v>
      </c>
      <c r="G79" s="20"/>
      <c r="H79" s="20"/>
      <c r="I79" s="20"/>
      <c r="J79" s="20"/>
      <c r="K79" s="14"/>
      <c r="N79" s="6"/>
    </row>
    <row r="80" spans="1:14" outlineLevel="2" x14ac:dyDescent="0.25">
      <c r="A80" s="224" t="s">
        <v>127</v>
      </c>
      <c r="B80" s="157">
        <f t="shared" si="14"/>
        <v>75</v>
      </c>
      <c r="C80" s="10" t="s">
        <v>1254</v>
      </c>
      <c r="D80" s="13" t="s">
        <v>1273</v>
      </c>
      <c r="E80" s="21">
        <f>Aufwandsentschädigungen!H4+Aufwandsentschädigungen!H5+Aufwandsentschädigungen!H6</f>
        <v>17440</v>
      </c>
      <c r="F80" s="21">
        <f>SUM(HHJ_2021_2022!U33,HHJ_2021_2022!U36)</f>
        <v>17400</v>
      </c>
      <c r="G80" s="21">
        <f>HHJ_2021_2022!T33*0.6+HHJ_2021_2022!T36*0.4</f>
        <v>13414</v>
      </c>
      <c r="H80" s="21"/>
      <c r="I80" s="21"/>
      <c r="J80" s="21"/>
      <c r="K80" s="14"/>
      <c r="M80" s="6"/>
      <c r="N80" s="6"/>
    </row>
    <row r="81" spans="1:14" outlineLevel="2" x14ac:dyDescent="0.25">
      <c r="A81" s="224" t="s">
        <v>128</v>
      </c>
      <c r="B81" s="157">
        <f t="shared" si="14"/>
        <v>76</v>
      </c>
      <c r="C81" s="10" t="s">
        <v>1255</v>
      </c>
      <c r="D81" s="13" t="s">
        <v>1270</v>
      </c>
      <c r="E81" s="21">
        <f>Aufwandsentschädigungen!I14</f>
        <v>39250</v>
      </c>
      <c r="F81" s="21">
        <f>SUM(HHJ_2021_2022!V33,HHJ_2021_2022!V36)</f>
        <v>26100</v>
      </c>
      <c r="G81" s="21">
        <f>HHJ_2021_2022!T33*0.4+HHJ_2021_2022!T36*0.6</f>
        <v>12531</v>
      </c>
      <c r="H81" s="21"/>
      <c r="I81" s="21"/>
      <c r="J81" s="21"/>
      <c r="K81" s="14"/>
      <c r="N81" s="6"/>
    </row>
    <row r="82" spans="1:14" outlineLevel="2" x14ac:dyDescent="0.25">
      <c r="A82" s="224" t="s">
        <v>129</v>
      </c>
      <c r="B82" s="157">
        <f t="shared" si="14"/>
        <v>77</v>
      </c>
      <c r="C82" s="10" t="s">
        <v>129</v>
      </c>
      <c r="D82" s="10" t="s">
        <v>1271</v>
      </c>
      <c r="E82" s="21">
        <v>25000</v>
      </c>
      <c r="F82" s="21">
        <v>25000</v>
      </c>
      <c r="G82" s="21">
        <f>HHJ_2021_2022!T34</f>
        <v>19640</v>
      </c>
      <c r="H82" s="21"/>
      <c r="I82" s="21"/>
      <c r="J82" s="21"/>
      <c r="K82" s="14"/>
      <c r="M82" s="6"/>
      <c r="N82" s="6"/>
    </row>
    <row r="83" spans="1:14" outlineLevel="2" x14ac:dyDescent="0.25">
      <c r="A83" s="224" t="s">
        <v>130</v>
      </c>
      <c r="B83" s="157">
        <f t="shared" si="14"/>
        <v>78</v>
      </c>
      <c r="C83" s="10" t="s">
        <v>44</v>
      </c>
      <c r="D83" s="10" t="s">
        <v>131</v>
      </c>
      <c r="E83" s="21">
        <v>0</v>
      </c>
      <c r="F83" s="21">
        <v>0</v>
      </c>
      <c r="G83" s="21"/>
      <c r="H83" s="21"/>
      <c r="I83" s="21"/>
      <c r="J83" s="21"/>
      <c r="K83" s="14"/>
      <c r="N83" s="6"/>
    </row>
    <row r="84" spans="1:14" outlineLevel="2" x14ac:dyDescent="0.25">
      <c r="A84" s="224" t="s">
        <v>132</v>
      </c>
      <c r="B84" s="157">
        <f t="shared" si="14"/>
        <v>79</v>
      </c>
      <c r="C84" s="10" t="s">
        <v>133</v>
      </c>
      <c r="D84" s="10" t="s">
        <v>1272</v>
      </c>
      <c r="E84" s="21">
        <f>Aufwandsentschädigungen!H14</f>
        <v>2000</v>
      </c>
      <c r="F84" s="21">
        <f>Aufwandsentschädigungen!C14</f>
        <v>1750</v>
      </c>
      <c r="G84" s="21"/>
      <c r="H84" s="21"/>
      <c r="I84" s="21"/>
      <c r="J84" s="21"/>
      <c r="K84" s="14"/>
      <c r="M84" s="6"/>
      <c r="N84" s="6"/>
    </row>
    <row r="85" spans="1:14" outlineLevel="1" x14ac:dyDescent="0.25">
      <c r="B85" s="154">
        <f t="shared" si="14"/>
        <v>80</v>
      </c>
      <c r="H85" s="14"/>
      <c r="I85" s="14"/>
      <c r="J85" s="14"/>
      <c r="K85" s="14"/>
      <c r="N85" s="6"/>
    </row>
    <row r="86" spans="1:14" outlineLevel="1" x14ac:dyDescent="0.25">
      <c r="A86" s="223" t="s">
        <v>135</v>
      </c>
      <c r="B86" s="156">
        <f t="shared" si="14"/>
        <v>81</v>
      </c>
      <c r="C86" s="9"/>
      <c r="D86" s="9" t="s">
        <v>136</v>
      </c>
      <c r="E86" s="20">
        <f>SUBTOTAL(9,E87:E87,E89:E94)</f>
        <v>74670</v>
      </c>
      <c r="F86" s="20">
        <f>SUBTOTAL(9,F87:F87,F89:F94)</f>
        <v>71500</v>
      </c>
      <c r="G86" s="20"/>
      <c r="H86" s="20"/>
      <c r="I86" s="20"/>
      <c r="J86" s="20"/>
      <c r="K86" s="14"/>
      <c r="M86" s="6"/>
      <c r="N86" s="6"/>
    </row>
    <row r="87" spans="1:14" outlineLevel="2" x14ac:dyDescent="0.25">
      <c r="A87" s="224" t="s">
        <v>137</v>
      </c>
      <c r="B87" s="157">
        <f t="shared" si="14"/>
        <v>82</v>
      </c>
      <c r="C87" s="10" t="s">
        <v>1268</v>
      </c>
      <c r="D87" s="10" t="s">
        <v>1274</v>
      </c>
      <c r="E87" s="21">
        <f>800*5*12</f>
        <v>48000</v>
      </c>
      <c r="F87" s="21">
        <f>800*5*12</f>
        <v>48000</v>
      </c>
      <c r="G87" s="21"/>
      <c r="H87" s="21"/>
      <c r="I87" s="21"/>
      <c r="J87" s="21"/>
      <c r="K87" s="14"/>
      <c r="N87" s="6"/>
    </row>
    <row r="88" spans="1:14" outlineLevel="2" x14ac:dyDescent="0.25">
      <c r="A88" s="224" t="s">
        <v>138</v>
      </c>
      <c r="B88" s="157">
        <f t="shared" si="14"/>
        <v>83</v>
      </c>
      <c r="C88" s="10"/>
      <c r="D88" s="10" t="s">
        <v>1269</v>
      </c>
      <c r="E88" s="21">
        <f>SUBTOTAL(9,E89:E93)</f>
        <v>25670</v>
      </c>
      <c r="F88" s="21">
        <f>SUBTOTAL(9,F89:F93)</f>
        <v>22000</v>
      </c>
      <c r="G88" s="21"/>
      <c r="H88" s="21"/>
      <c r="I88" s="21"/>
      <c r="J88" s="21"/>
      <c r="K88" s="14"/>
      <c r="M88" s="6"/>
      <c r="N88" s="6"/>
    </row>
    <row r="89" spans="1:14" outlineLevel="3" x14ac:dyDescent="0.25">
      <c r="A89" s="224" t="s">
        <v>139</v>
      </c>
      <c r="B89" s="157">
        <f t="shared" si="14"/>
        <v>84</v>
      </c>
      <c r="C89" s="10" t="s">
        <v>1267</v>
      </c>
      <c r="D89" s="13" t="s">
        <v>140</v>
      </c>
      <c r="E89" s="21">
        <f>[1]WiWi!E11</f>
        <v>8600</v>
      </c>
      <c r="F89" s="21">
        <f>[1]WiWi!G11</f>
        <v>10400</v>
      </c>
      <c r="G89" s="21"/>
      <c r="H89" s="21"/>
      <c r="I89" s="21"/>
      <c r="J89" s="21"/>
      <c r="K89" s="14"/>
      <c r="N89" s="6"/>
    </row>
    <row r="90" spans="1:14" outlineLevel="3" x14ac:dyDescent="0.25">
      <c r="A90" s="224" t="s">
        <v>141</v>
      </c>
      <c r="B90" s="157">
        <f t="shared" si="14"/>
        <v>85</v>
      </c>
      <c r="C90" s="10" t="s">
        <v>142</v>
      </c>
      <c r="D90" s="13" t="s">
        <v>143</v>
      </c>
      <c r="E90" s="21">
        <f>KSW!E11</f>
        <v>5270</v>
      </c>
      <c r="F90" s="21">
        <f>KSW!G11</f>
        <v>1400</v>
      </c>
      <c r="G90" s="21"/>
      <c r="H90" s="21"/>
      <c r="I90" s="21"/>
      <c r="J90" s="21"/>
      <c r="K90" s="14"/>
      <c r="M90" s="6"/>
      <c r="N90" s="6"/>
    </row>
    <row r="91" spans="1:14" outlineLevel="3" x14ac:dyDescent="0.25">
      <c r="A91" s="224" t="s">
        <v>144</v>
      </c>
      <c r="B91" s="157">
        <f t="shared" si="14"/>
        <v>86</v>
      </c>
      <c r="C91" s="10" t="s">
        <v>145</v>
      </c>
      <c r="D91" s="13" t="s">
        <v>146</v>
      </c>
      <c r="E91" s="21">
        <f>PSY!E11</f>
        <v>4500</v>
      </c>
      <c r="F91" s="21">
        <f>PSY!G11</f>
        <v>2400</v>
      </c>
      <c r="G91" s="21"/>
      <c r="H91" s="21"/>
      <c r="I91" s="21"/>
      <c r="J91" s="21"/>
      <c r="K91" s="14"/>
      <c r="N91" s="6"/>
    </row>
    <row r="92" spans="1:14" outlineLevel="3" x14ac:dyDescent="0.25">
      <c r="A92" s="224" t="s">
        <v>147</v>
      </c>
      <c r="B92" s="157">
        <f t="shared" si="14"/>
        <v>87</v>
      </c>
      <c r="C92" s="10" t="s">
        <v>148</v>
      </c>
      <c r="D92" s="13" t="s">
        <v>149</v>
      </c>
      <c r="E92" s="21">
        <f>ReWi!E11</f>
        <v>5000</v>
      </c>
      <c r="F92" s="21">
        <f>ReWi!G11</f>
        <v>4400</v>
      </c>
      <c r="G92" s="21"/>
      <c r="H92" s="21"/>
      <c r="I92" s="21"/>
      <c r="J92" s="21"/>
      <c r="K92" s="14"/>
      <c r="M92" s="6"/>
      <c r="N92" s="6"/>
    </row>
    <row r="93" spans="1:14" outlineLevel="3" x14ac:dyDescent="0.25">
      <c r="A93" s="224" t="s">
        <v>150</v>
      </c>
      <c r="B93" s="157">
        <f t="shared" si="14"/>
        <v>88</v>
      </c>
      <c r="C93" s="10" t="s">
        <v>1286</v>
      </c>
      <c r="D93" s="13" t="s">
        <v>151</v>
      </c>
      <c r="E93" s="21">
        <f>M_I!E11</f>
        <v>2300</v>
      </c>
      <c r="F93" s="21">
        <f>M_I!G11</f>
        <v>3400</v>
      </c>
      <c r="G93" s="21"/>
      <c r="H93" s="21"/>
      <c r="I93" s="21"/>
      <c r="J93" s="21"/>
      <c r="K93" s="14"/>
      <c r="N93" s="6"/>
    </row>
    <row r="94" spans="1:14" outlineLevel="2" x14ac:dyDescent="0.25">
      <c r="A94" s="224" t="s">
        <v>152</v>
      </c>
      <c r="B94" s="157">
        <f t="shared" si="14"/>
        <v>89</v>
      </c>
      <c r="C94" s="10" t="s">
        <v>153</v>
      </c>
      <c r="D94" s="10" t="s">
        <v>154</v>
      </c>
      <c r="E94" s="21">
        <v>1000</v>
      </c>
      <c r="F94" s="21">
        <v>1500</v>
      </c>
      <c r="G94" s="21"/>
      <c r="H94" s="21"/>
      <c r="I94" s="21"/>
      <c r="J94" s="21"/>
      <c r="K94" s="14"/>
      <c r="M94" s="6"/>
      <c r="N94" s="6"/>
    </row>
    <row r="95" spans="1:14" outlineLevel="1" x14ac:dyDescent="0.25">
      <c r="B95" s="154">
        <f t="shared" si="14"/>
        <v>90</v>
      </c>
      <c r="H95" s="14"/>
      <c r="I95" s="14"/>
      <c r="J95" s="14"/>
      <c r="K95" s="14"/>
      <c r="N95" s="6"/>
    </row>
    <row r="96" spans="1:14" outlineLevel="1" x14ac:dyDescent="0.25">
      <c r="A96" s="223" t="s">
        <v>155</v>
      </c>
      <c r="B96" s="156">
        <f t="shared" si="14"/>
        <v>91</v>
      </c>
      <c r="C96" s="9"/>
      <c r="D96" s="9" t="s">
        <v>156</v>
      </c>
      <c r="E96" s="20">
        <f>SUBTOTAL(9,E97:E100)</f>
        <v>115200</v>
      </c>
      <c r="F96" s="20">
        <f>SUBTOTAL(9,F97:F100)</f>
        <v>107185</v>
      </c>
      <c r="G96" s="20"/>
      <c r="H96" s="20"/>
      <c r="I96" s="20"/>
      <c r="J96" s="20"/>
      <c r="K96" s="14"/>
      <c r="M96" s="6"/>
      <c r="N96" s="6"/>
    </row>
    <row r="97" spans="1:14" outlineLevel="2" x14ac:dyDescent="0.25">
      <c r="A97" s="224" t="s">
        <v>157</v>
      </c>
      <c r="B97" s="157">
        <f t="shared" si="14"/>
        <v>92</v>
      </c>
      <c r="C97" s="10" t="s">
        <v>158</v>
      </c>
      <c r="D97" s="13" t="s">
        <v>159</v>
      </c>
      <c r="E97" s="21">
        <f>Stellenplan!H6</f>
        <v>70000</v>
      </c>
      <c r="F97" s="21">
        <f>Stellenplan!B6</f>
        <v>63000</v>
      </c>
      <c r="G97" s="21"/>
      <c r="H97" s="21"/>
      <c r="I97" s="21"/>
      <c r="J97" s="21"/>
      <c r="K97" s="14"/>
      <c r="N97" s="6"/>
    </row>
    <row r="98" spans="1:14" outlineLevel="2" x14ac:dyDescent="0.25">
      <c r="A98" s="224" t="s">
        <v>160</v>
      </c>
      <c r="B98" s="157">
        <f t="shared" si="14"/>
        <v>93</v>
      </c>
      <c r="C98" s="10" t="s">
        <v>163</v>
      </c>
      <c r="D98" s="13" t="s">
        <v>161</v>
      </c>
      <c r="E98" s="21">
        <f>Stellenplan!I6</f>
        <v>18000</v>
      </c>
      <c r="F98" s="21">
        <f>Stellenplan!C6</f>
        <v>19000</v>
      </c>
      <c r="G98" s="21"/>
      <c r="H98" s="21"/>
      <c r="I98" s="21"/>
      <c r="J98" s="21"/>
      <c r="K98" s="14"/>
      <c r="M98" s="6"/>
      <c r="N98" s="6"/>
    </row>
    <row r="99" spans="1:14" outlineLevel="2" x14ac:dyDescent="0.25">
      <c r="A99" s="224" t="s">
        <v>162</v>
      </c>
      <c r="B99" s="157">
        <f t="shared" si="14"/>
        <v>94</v>
      </c>
      <c r="C99" s="10" t="s">
        <v>127</v>
      </c>
      <c r="D99" s="13" t="s">
        <v>164</v>
      </c>
      <c r="E99" s="21">
        <f>Stellenplan!J6</f>
        <v>27000</v>
      </c>
      <c r="F99" s="21">
        <f>Stellenplan!D6</f>
        <v>25000</v>
      </c>
      <c r="G99" s="21"/>
      <c r="H99" s="21"/>
      <c r="I99" s="21"/>
      <c r="J99" s="21"/>
      <c r="K99" s="14"/>
      <c r="N99" s="6"/>
    </row>
    <row r="100" spans="1:14" outlineLevel="2" x14ac:dyDescent="0.25">
      <c r="A100" s="224" t="s">
        <v>165</v>
      </c>
      <c r="B100" s="157">
        <f t="shared" si="14"/>
        <v>95</v>
      </c>
      <c r="C100" s="10" t="s">
        <v>166</v>
      </c>
      <c r="D100" s="13" t="s">
        <v>167</v>
      </c>
      <c r="E100" s="21">
        <f>Stellenplan!K6</f>
        <v>200</v>
      </c>
      <c r="F100" s="21">
        <f>Stellenplan!E6</f>
        <v>185</v>
      </c>
      <c r="G100" s="21"/>
      <c r="H100" s="21"/>
      <c r="I100" s="21"/>
      <c r="J100" s="21"/>
      <c r="K100" s="14"/>
      <c r="M100" s="6"/>
      <c r="N100" s="6"/>
    </row>
    <row r="101" spans="1:14" outlineLevel="1" x14ac:dyDescent="0.25">
      <c r="B101" s="154">
        <f t="shared" si="14"/>
        <v>96</v>
      </c>
      <c r="H101" s="14"/>
      <c r="I101" s="14"/>
      <c r="J101" s="14"/>
      <c r="K101" s="14"/>
      <c r="N101" s="6"/>
    </row>
    <row r="102" spans="1:14" outlineLevel="1" x14ac:dyDescent="0.25">
      <c r="A102" s="223" t="s">
        <v>168</v>
      </c>
      <c r="B102" s="156">
        <f t="shared" si="14"/>
        <v>97</v>
      </c>
      <c r="C102" s="9"/>
      <c r="D102" s="9" t="s">
        <v>169</v>
      </c>
      <c r="E102" s="20">
        <f>SUBTOTAL(9,E103:E107)</f>
        <v>220495</v>
      </c>
      <c r="F102" s="20">
        <f>SUBTOTAL(9,F103:F107)</f>
        <v>206500</v>
      </c>
      <c r="G102" s="20"/>
      <c r="H102" s="20"/>
      <c r="I102" s="20"/>
      <c r="J102" s="20"/>
      <c r="K102" s="14"/>
      <c r="M102" s="6"/>
      <c r="N102" s="6"/>
    </row>
    <row r="103" spans="1:14" outlineLevel="2" x14ac:dyDescent="0.25">
      <c r="A103" s="224" t="s">
        <v>170</v>
      </c>
      <c r="B103" s="157">
        <f t="shared" si="14"/>
        <v>98</v>
      </c>
      <c r="C103" s="10" t="s">
        <v>171</v>
      </c>
      <c r="D103" s="13" t="s">
        <v>172</v>
      </c>
      <c r="E103" s="21">
        <f>Stellenplan!D46</f>
        <v>102000</v>
      </c>
      <c r="F103" s="21">
        <f>Stellenplan!E46</f>
        <v>92500</v>
      </c>
      <c r="G103" s="21"/>
      <c r="H103" s="21"/>
      <c r="I103" s="21"/>
      <c r="J103" s="21"/>
      <c r="K103" s="14"/>
      <c r="N103" s="6"/>
    </row>
    <row r="104" spans="1:14" outlineLevel="2" x14ac:dyDescent="0.25">
      <c r="A104" s="224" t="s">
        <v>173</v>
      </c>
      <c r="B104" s="157">
        <f t="shared" si="14"/>
        <v>99</v>
      </c>
      <c r="C104" s="10" t="s">
        <v>174</v>
      </c>
      <c r="D104" s="13" t="s">
        <v>175</v>
      </c>
      <c r="E104" s="21">
        <f>Stellenplan!D47</f>
        <v>28000</v>
      </c>
      <c r="F104" s="21">
        <f>Stellenplan!E47</f>
        <v>26000</v>
      </c>
      <c r="G104" s="21"/>
      <c r="H104" s="21"/>
      <c r="I104" s="21"/>
      <c r="J104" s="21"/>
      <c r="K104" s="14"/>
      <c r="M104" s="6"/>
      <c r="N104" s="6"/>
    </row>
    <row r="105" spans="1:14" outlineLevel="2" x14ac:dyDescent="0.25">
      <c r="A105" s="224" t="s">
        <v>176</v>
      </c>
      <c r="B105" s="157">
        <f t="shared" si="14"/>
        <v>100</v>
      </c>
      <c r="C105" s="10" t="s">
        <v>177</v>
      </c>
      <c r="D105" s="13" t="s">
        <v>178</v>
      </c>
      <c r="E105" s="21">
        <f>Stellenplan!D48</f>
        <v>75000</v>
      </c>
      <c r="F105" s="21">
        <f>Stellenplan!E48</f>
        <v>73000</v>
      </c>
      <c r="G105" s="21"/>
      <c r="H105" s="21"/>
      <c r="I105" s="21"/>
      <c r="J105" s="21"/>
      <c r="K105" s="14"/>
      <c r="N105" s="6"/>
    </row>
    <row r="106" spans="1:14" outlineLevel="2" x14ac:dyDescent="0.25">
      <c r="A106" s="224" t="s">
        <v>179</v>
      </c>
      <c r="B106" s="157">
        <f t="shared" si="14"/>
        <v>101</v>
      </c>
      <c r="C106" s="10" t="s">
        <v>180</v>
      </c>
      <c r="D106" s="13" t="s">
        <v>181</v>
      </c>
      <c r="E106" s="21">
        <f>Stellenplan!D49</f>
        <v>15000</v>
      </c>
      <c r="F106" s="21">
        <f>Stellenplan!E49</f>
        <v>14500</v>
      </c>
      <c r="G106" s="21"/>
      <c r="H106" s="21"/>
      <c r="I106" s="21"/>
      <c r="J106" s="21"/>
      <c r="K106" s="14"/>
      <c r="M106" s="6"/>
      <c r="N106" s="6"/>
    </row>
    <row r="107" spans="1:14" outlineLevel="2" x14ac:dyDescent="0.25">
      <c r="A107" s="224" t="s">
        <v>182</v>
      </c>
      <c r="B107" s="157">
        <f t="shared" si="14"/>
        <v>102</v>
      </c>
      <c r="C107" s="10" t="s">
        <v>183</v>
      </c>
      <c r="D107" s="13" t="s">
        <v>184</v>
      </c>
      <c r="E107" s="21">
        <v>495</v>
      </c>
      <c r="F107" s="21">
        <v>500</v>
      </c>
      <c r="G107" s="21"/>
      <c r="H107" s="21"/>
      <c r="I107" s="21"/>
      <c r="J107" s="21"/>
      <c r="K107" s="14"/>
      <c r="N107" s="6"/>
    </row>
    <row r="108" spans="1:14" outlineLevel="1" x14ac:dyDescent="0.25">
      <c r="B108" s="154">
        <f t="shared" si="14"/>
        <v>103</v>
      </c>
      <c r="H108" s="14"/>
      <c r="I108" s="14"/>
      <c r="J108" s="14"/>
      <c r="K108" s="14"/>
      <c r="M108" s="6"/>
      <c r="N108" s="6"/>
    </row>
    <row r="109" spans="1:14" outlineLevel="1" x14ac:dyDescent="0.25">
      <c r="A109" s="223" t="s">
        <v>185</v>
      </c>
      <c r="B109" s="156">
        <f t="shared" si="14"/>
        <v>104</v>
      </c>
      <c r="C109" s="9"/>
      <c r="D109" s="9" t="s">
        <v>186</v>
      </c>
      <c r="E109" s="20">
        <f>SUBTOTAL(9,E110:E113)</f>
        <v>4700</v>
      </c>
      <c r="F109" s="20">
        <f>SUBTOTAL(9,F110:F113)</f>
        <v>4800</v>
      </c>
      <c r="G109" s="20"/>
      <c r="H109" s="20"/>
      <c r="I109" s="20"/>
      <c r="J109" s="20"/>
      <c r="K109" s="14"/>
      <c r="N109" s="6"/>
    </row>
    <row r="110" spans="1:14" outlineLevel="2" x14ac:dyDescent="0.25">
      <c r="A110" s="224" t="s">
        <v>187</v>
      </c>
      <c r="B110" s="157">
        <f t="shared" si="14"/>
        <v>105</v>
      </c>
      <c r="C110" s="10" t="s">
        <v>188</v>
      </c>
      <c r="D110" s="10" t="s">
        <v>189</v>
      </c>
      <c r="E110" s="21">
        <v>1500</v>
      </c>
      <c r="F110" s="21">
        <v>1500</v>
      </c>
      <c r="G110" s="21"/>
      <c r="H110" s="21"/>
      <c r="I110" s="21"/>
      <c r="J110" s="21"/>
      <c r="K110" s="14"/>
      <c r="M110" s="6"/>
      <c r="N110" s="6"/>
    </row>
    <row r="111" spans="1:14" outlineLevel="2" x14ac:dyDescent="0.25">
      <c r="A111" s="224" t="s">
        <v>190</v>
      </c>
      <c r="B111" s="157">
        <f t="shared" si="14"/>
        <v>106</v>
      </c>
      <c r="C111" s="10" t="s">
        <v>191</v>
      </c>
      <c r="D111" s="10" t="s">
        <v>49</v>
      </c>
      <c r="E111" s="21">
        <v>1000</v>
      </c>
      <c r="F111" s="21">
        <v>1000</v>
      </c>
      <c r="G111" s="21"/>
      <c r="H111" s="21"/>
      <c r="I111" s="21"/>
      <c r="J111" s="21"/>
      <c r="K111" s="14"/>
      <c r="N111" s="6"/>
    </row>
    <row r="112" spans="1:14" outlineLevel="2" x14ac:dyDescent="0.25">
      <c r="A112" s="224" t="s">
        <v>192</v>
      </c>
      <c r="B112" s="157">
        <f t="shared" si="14"/>
        <v>107</v>
      </c>
      <c r="C112" s="10" t="s">
        <v>193</v>
      </c>
      <c r="D112" s="10" t="s">
        <v>194</v>
      </c>
      <c r="E112" s="21">
        <v>1500</v>
      </c>
      <c r="F112" s="21">
        <v>1500</v>
      </c>
      <c r="G112" s="21"/>
      <c r="H112" s="21"/>
      <c r="I112" s="21"/>
      <c r="J112" s="21"/>
      <c r="K112" s="14"/>
      <c r="M112" s="6"/>
      <c r="N112" s="6"/>
    </row>
    <row r="113" spans="1:14" outlineLevel="2" x14ac:dyDescent="0.25">
      <c r="A113" s="224" t="s">
        <v>195</v>
      </c>
      <c r="B113" s="157">
        <f t="shared" si="14"/>
        <v>108</v>
      </c>
      <c r="C113" s="10" t="s">
        <v>1256</v>
      </c>
      <c r="D113" s="10" t="s">
        <v>196</v>
      </c>
      <c r="E113" s="21">
        <v>700</v>
      </c>
      <c r="F113" s="21">
        <v>800</v>
      </c>
      <c r="G113" s="21"/>
      <c r="H113" s="21"/>
      <c r="I113" s="21"/>
      <c r="J113" s="21"/>
      <c r="K113" s="14"/>
      <c r="N113" s="6"/>
    </row>
    <row r="114" spans="1:14" outlineLevel="1" x14ac:dyDescent="0.25">
      <c r="B114" s="154">
        <f t="shared" si="14"/>
        <v>109</v>
      </c>
      <c r="H114" s="14"/>
      <c r="I114" s="14"/>
      <c r="J114" s="14"/>
      <c r="K114" s="14"/>
      <c r="M114" s="6"/>
      <c r="N114" s="6"/>
    </row>
    <row r="115" spans="1:14" x14ac:dyDescent="0.25">
      <c r="B115" s="154">
        <f t="shared" si="14"/>
        <v>110</v>
      </c>
      <c r="H115" s="14"/>
      <c r="I115" s="14"/>
      <c r="J115" s="14"/>
      <c r="K115" s="14"/>
      <c r="N115" s="6"/>
    </row>
    <row r="116" spans="1:14" x14ac:dyDescent="0.25">
      <c r="A116" s="161" t="s">
        <v>197</v>
      </c>
      <c r="B116" s="155">
        <f t="shared" si="14"/>
        <v>111</v>
      </c>
      <c r="C116" s="8"/>
      <c r="D116" s="8" t="s">
        <v>198</v>
      </c>
      <c r="E116" s="19">
        <f>SUBTOTAL(9,E118:E247)</f>
        <v>619595</v>
      </c>
      <c r="F116" s="19">
        <f>SUBTOTAL(9,F118:F247)</f>
        <v>725520</v>
      </c>
      <c r="G116" s="19"/>
      <c r="H116" s="19"/>
      <c r="I116" s="19"/>
      <c r="J116" s="19"/>
      <c r="K116" s="14"/>
      <c r="M116" s="6"/>
      <c r="N116" s="6"/>
    </row>
    <row r="117" spans="1:14" outlineLevel="1" x14ac:dyDescent="0.25">
      <c r="A117" s="223" t="s">
        <v>199</v>
      </c>
      <c r="B117" s="156">
        <f t="shared" si="14"/>
        <v>112</v>
      </c>
      <c r="C117" s="9"/>
      <c r="D117" s="9" t="s">
        <v>200</v>
      </c>
      <c r="E117" s="20">
        <f>SUBTOTAL(9,E118:E125)</f>
        <v>17480</v>
      </c>
      <c r="F117" s="20">
        <f>SUBTOTAL(9,F118:F125)</f>
        <v>13510</v>
      </c>
      <c r="G117" s="20"/>
      <c r="H117" s="20"/>
      <c r="I117" s="20"/>
      <c r="J117" s="20"/>
      <c r="K117" s="14"/>
      <c r="N117" s="6"/>
    </row>
    <row r="118" spans="1:14" outlineLevel="2" x14ac:dyDescent="0.25">
      <c r="A118" s="224" t="s">
        <v>201</v>
      </c>
      <c r="B118" s="157">
        <f t="shared" si="14"/>
        <v>113</v>
      </c>
      <c r="C118" s="10" t="s">
        <v>202</v>
      </c>
      <c r="D118" s="10" t="s">
        <v>203</v>
      </c>
      <c r="E118" s="21">
        <v>2000</v>
      </c>
      <c r="F118" s="21">
        <v>1610</v>
      </c>
      <c r="G118" s="21"/>
      <c r="H118" s="21"/>
      <c r="I118" s="21"/>
      <c r="J118" s="21"/>
      <c r="K118" s="14"/>
      <c r="M118" s="6"/>
      <c r="N118" s="6"/>
    </row>
    <row r="119" spans="1:14" outlineLevel="2" x14ac:dyDescent="0.25">
      <c r="A119" s="224" t="s">
        <v>204</v>
      </c>
      <c r="B119" s="157">
        <f t="shared" si="14"/>
        <v>114</v>
      </c>
      <c r="C119" s="10" t="s">
        <v>1287</v>
      </c>
      <c r="D119" s="10" t="s">
        <v>205</v>
      </c>
      <c r="E119" s="21">
        <v>800</v>
      </c>
      <c r="F119" s="21">
        <v>550</v>
      </c>
      <c r="G119" s="21"/>
      <c r="H119" s="21"/>
      <c r="I119" s="21"/>
      <c r="J119" s="21"/>
      <c r="K119" s="14"/>
      <c r="N119" s="6"/>
    </row>
    <row r="120" spans="1:14" outlineLevel="2" x14ac:dyDescent="0.25">
      <c r="A120" s="224" t="s">
        <v>206</v>
      </c>
      <c r="B120" s="157">
        <f t="shared" si="14"/>
        <v>115</v>
      </c>
      <c r="C120" s="10" t="s">
        <v>207</v>
      </c>
      <c r="D120" s="10" t="s">
        <v>208</v>
      </c>
      <c r="E120" s="21">
        <v>550</v>
      </c>
      <c r="F120" s="21">
        <v>350</v>
      </c>
      <c r="G120" s="21"/>
      <c r="H120" s="21"/>
      <c r="I120" s="21"/>
      <c r="J120" s="21"/>
      <c r="K120" s="14"/>
      <c r="M120" s="6"/>
      <c r="N120" s="6"/>
    </row>
    <row r="121" spans="1:14" outlineLevel="2" x14ac:dyDescent="0.25">
      <c r="A121" s="224" t="s">
        <v>209</v>
      </c>
      <c r="B121" s="157">
        <f t="shared" si="14"/>
        <v>116</v>
      </c>
      <c r="C121" s="10" t="s">
        <v>210</v>
      </c>
      <c r="D121" s="10" t="s">
        <v>211</v>
      </c>
      <c r="E121" s="21">
        <v>1200</v>
      </c>
      <c r="F121" s="21">
        <v>600</v>
      </c>
      <c r="G121" s="21"/>
      <c r="H121" s="21"/>
      <c r="I121" s="21"/>
      <c r="J121" s="21"/>
      <c r="K121" s="14"/>
      <c r="N121" s="6"/>
    </row>
    <row r="122" spans="1:14" outlineLevel="2" x14ac:dyDescent="0.25">
      <c r="A122" s="224" t="s">
        <v>212</v>
      </c>
      <c r="B122" s="157">
        <f>ROW(B118)</f>
        <v>118</v>
      </c>
      <c r="C122" s="10" t="s">
        <v>213</v>
      </c>
      <c r="D122" s="10" t="s">
        <v>214</v>
      </c>
      <c r="E122" s="21">
        <v>800</v>
      </c>
      <c r="F122" s="21">
        <v>700</v>
      </c>
      <c r="G122" s="21"/>
      <c r="H122" s="21"/>
      <c r="I122" s="21"/>
      <c r="J122" s="21"/>
      <c r="K122" s="14"/>
      <c r="M122" s="6"/>
      <c r="N122" s="6"/>
    </row>
    <row r="123" spans="1:14" outlineLevel="2" x14ac:dyDescent="0.25">
      <c r="A123" s="224" t="s">
        <v>215</v>
      </c>
      <c r="B123" s="157">
        <f>ROW(B119)</f>
        <v>119</v>
      </c>
      <c r="C123" s="10" t="s">
        <v>216</v>
      </c>
      <c r="D123" s="13" t="s">
        <v>217</v>
      </c>
      <c r="E123" s="21">
        <f>Tabelle17[[#Totals],[Beträge/Budget]]</f>
        <v>4080</v>
      </c>
      <c r="F123" s="21">
        <v>3500</v>
      </c>
      <c r="G123" s="21"/>
      <c r="H123" s="21"/>
      <c r="I123" s="21"/>
      <c r="J123" s="21"/>
      <c r="K123" s="14"/>
      <c r="N123" s="6"/>
    </row>
    <row r="124" spans="1:14" outlineLevel="2" x14ac:dyDescent="0.25">
      <c r="A124" s="224" t="s">
        <v>218</v>
      </c>
      <c r="B124" s="157">
        <f>ROW(B120)</f>
        <v>120</v>
      </c>
      <c r="C124" s="10" t="s">
        <v>219</v>
      </c>
      <c r="D124" s="10" t="s">
        <v>220</v>
      </c>
      <c r="E124" s="21">
        <v>100</v>
      </c>
      <c r="F124" s="21">
        <v>100</v>
      </c>
      <c r="G124" s="21"/>
      <c r="H124" s="21"/>
      <c r="I124" s="21"/>
      <c r="J124" s="21"/>
      <c r="K124" s="14"/>
      <c r="M124" s="6"/>
      <c r="N124" s="6"/>
    </row>
    <row r="125" spans="1:14" outlineLevel="2" x14ac:dyDescent="0.25">
      <c r="A125" s="224" t="s">
        <v>221</v>
      </c>
      <c r="B125" s="157">
        <f>ROW(B121)</f>
        <v>121</v>
      </c>
      <c r="C125" s="10" t="s">
        <v>222</v>
      </c>
      <c r="D125" s="13" t="s">
        <v>223</v>
      </c>
      <c r="E125" s="21">
        <f>Tabelle16[[#Totals],[Beträge/Budget]]</f>
        <v>7950</v>
      </c>
      <c r="F125" s="21">
        <v>6100</v>
      </c>
      <c r="G125" s="21"/>
      <c r="H125" s="21"/>
      <c r="I125" s="21"/>
      <c r="J125" s="21"/>
      <c r="K125" s="14"/>
      <c r="N125" s="6"/>
    </row>
    <row r="126" spans="1:14" outlineLevel="1" x14ac:dyDescent="0.25">
      <c r="B126" s="154" t="e">
        <f>ROW(#REF!)</f>
        <v>#REF!</v>
      </c>
      <c r="H126" s="14"/>
      <c r="I126" s="14"/>
      <c r="J126" s="14"/>
      <c r="K126" s="14"/>
      <c r="M126" s="6"/>
      <c r="N126" s="6"/>
    </row>
    <row r="127" spans="1:14" outlineLevel="1" x14ac:dyDescent="0.25">
      <c r="A127" s="223" t="s">
        <v>224</v>
      </c>
      <c r="B127" s="156">
        <f t="shared" si="14"/>
        <v>122</v>
      </c>
      <c r="C127" s="9"/>
      <c r="D127" s="9" t="s">
        <v>225</v>
      </c>
      <c r="E127" s="20">
        <f>SUBTOTAL(9,E128:E130)</f>
        <v>13000</v>
      </c>
      <c r="F127" s="20">
        <f>SUBTOTAL(9,F128:F130)</f>
        <v>1700</v>
      </c>
      <c r="G127" s="20"/>
      <c r="H127" s="20"/>
      <c r="I127" s="20"/>
      <c r="J127" s="20"/>
      <c r="K127" s="14"/>
      <c r="N127" s="6"/>
    </row>
    <row r="128" spans="1:14" outlineLevel="2" x14ac:dyDescent="0.25">
      <c r="A128" s="224" t="s">
        <v>226</v>
      </c>
      <c r="B128" s="157">
        <f t="shared" ref="B128:B182" si="17">ROW(B123)</f>
        <v>123</v>
      </c>
      <c r="C128" s="10" t="s">
        <v>227</v>
      </c>
      <c r="D128" s="13" t="s">
        <v>228</v>
      </c>
      <c r="E128" s="21">
        <f>Tabelle2853[[#Totals],[Betrag]]</f>
        <v>7000</v>
      </c>
      <c r="F128" s="21">
        <f>Tabelle28[[#Totals],[Betrag]]</f>
        <v>700</v>
      </c>
      <c r="G128" s="21"/>
      <c r="H128" s="21"/>
      <c r="I128" s="21"/>
      <c r="J128" s="21"/>
      <c r="K128" s="14"/>
      <c r="M128" s="6"/>
      <c r="N128" s="6"/>
    </row>
    <row r="129" spans="1:14" outlineLevel="2" x14ac:dyDescent="0.25">
      <c r="A129" s="224" t="s">
        <v>229</v>
      </c>
      <c r="B129" s="157">
        <f t="shared" si="17"/>
        <v>124</v>
      </c>
      <c r="C129" s="10" t="s">
        <v>230</v>
      </c>
      <c r="D129" s="13" t="s">
        <v>231</v>
      </c>
      <c r="E129" s="21">
        <f>Tabelle252[[#Totals],[Betrag]]</f>
        <v>5500</v>
      </c>
      <c r="F129" s="21">
        <f>Tabelle2[[#Totals],[Betrag]]</f>
        <v>500</v>
      </c>
      <c r="G129" s="21"/>
      <c r="H129" s="21"/>
      <c r="I129" s="21"/>
      <c r="J129" s="21"/>
      <c r="K129" s="14"/>
      <c r="N129" s="6"/>
    </row>
    <row r="130" spans="1:14" outlineLevel="2" x14ac:dyDescent="0.25">
      <c r="A130" s="224" t="s">
        <v>232</v>
      </c>
      <c r="B130" s="157">
        <f>ROW(B126)</f>
        <v>126</v>
      </c>
      <c r="C130" s="10" t="s">
        <v>233</v>
      </c>
      <c r="D130" s="13" t="s">
        <v>234</v>
      </c>
      <c r="E130" s="21">
        <f>Tabelle211121656[[#Totals],[Betrag]]</f>
        <v>500</v>
      </c>
      <c r="F130" s="21">
        <f>Tabelle2111216[[#Totals],[Betrag]]</f>
        <v>500</v>
      </c>
      <c r="G130" s="21"/>
      <c r="H130" s="21"/>
      <c r="I130" s="21"/>
      <c r="J130" s="21"/>
      <c r="K130" s="14"/>
      <c r="M130" s="6"/>
      <c r="N130" s="6"/>
    </row>
    <row r="131" spans="1:14" outlineLevel="1" x14ac:dyDescent="0.25">
      <c r="B131" s="154" t="e">
        <f>ROW(#REF!)</f>
        <v>#REF!</v>
      </c>
      <c r="H131" s="14"/>
      <c r="I131" s="14"/>
      <c r="J131" s="14"/>
      <c r="K131" s="14"/>
      <c r="N131" s="6"/>
    </row>
    <row r="132" spans="1:14" outlineLevel="1" x14ac:dyDescent="0.25">
      <c r="A132" s="223" t="s">
        <v>235</v>
      </c>
      <c r="B132" s="156" t="e">
        <f>ROW(#REF!)</f>
        <v>#REF!</v>
      </c>
      <c r="C132" s="9"/>
      <c r="D132" s="9" t="s">
        <v>236</v>
      </c>
      <c r="E132" s="20">
        <f>SUBTOTAL(9,E133:E142)</f>
        <v>82770</v>
      </c>
      <c r="F132" s="20">
        <f>SUBTOTAL(9,F133:F142)</f>
        <v>82900</v>
      </c>
      <c r="G132" s="20"/>
      <c r="H132" s="20"/>
      <c r="I132" s="20"/>
      <c r="J132" s="20"/>
      <c r="K132" s="14"/>
      <c r="M132" s="6"/>
      <c r="N132" s="6"/>
    </row>
    <row r="133" spans="1:14" outlineLevel="2" x14ac:dyDescent="0.25">
      <c r="A133" s="224" t="s">
        <v>237</v>
      </c>
      <c r="B133" s="157" t="e">
        <f>ROW(#REF!)</f>
        <v>#REF!</v>
      </c>
      <c r="C133" s="10" t="s">
        <v>238</v>
      </c>
      <c r="D133" s="10" t="s">
        <v>239</v>
      </c>
      <c r="E133" s="21">
        <v>2000</v>
      </c>
      <c r="F133" s="21">
        <v>1600</v>
      </c>
      <c r="G133" s="21"/>
      <c r="H133" s="21"/>
      <c r="I133" s="21"/>
      <c r="J133" s="21"/>
      <c r="K133" s="14"/>
      <c r="N133" s="6"/>
    </row>
    <row r="134" spans="1:14" outlineLevel="2" x14ac:dyDescent="0.25">
      <c r="A134" s="224" t="s">
        <v>240</v>
      </c>
      <c r="B134" s="157" t="e">
        <f>ROW(#REF!)</f>
        <v>#REF!</v>
      </c>
      <c r="C134" s="10" t="s">
        <v>241</v>
      </c>
      <c r="D134" s="10" t="s">
        <v>1275</v>
      </c>
      <c r="E134" s="21">
        <v>30000</v>
      </c>
      <c r="F134" s="21">
        <v>32500</v>
      </c>
      <c r="G134" s="21"/>
      <c r="H134" s="21"/>
      <c r="I134" s="21"/>
      <c r="J134" s="21"/>
      <c r="K134" s="14"/>
      <c r="M134" s="6"/>
      <c r="N134" s="6"/>
    </row>
    <row r="135" spans="1:14" outlineLevel="2" x14ac:dyDescent="0.25">
      <c r="A135" s="224" t="s">
        <v>242</v>
      </c>
      <c r="B135" s="157" t="e">
        <f>ROW(#REF!)</f>
        <v>#REF!</v>
      </c>
      <c r="C135" s="10" t="s">
        <v>243</v>
      </c>
      <c r="D135" s="13" t="s">
        <v>244</v>
      </c>
      <c r="E135" s="21">
        <f>Referatspläne!D3</f>
        <v>16800</v>
      </c>
      <c r="F135" s="21">
        <f>Referatspläne!D2</f>
        <v>17800</v>
      </c>
      <c r="G135" s="21"/>
      <c r="H135" s="21"/>
      <c r="I135" s="21"/>
      <c r="J135" s="21"/>
      <c r="K135" s="14"/>
      <c r="N135" s="6"/>
    </row>
    <row r="136" spans="1:14" outlineLevel="2" x14ac:dyDescent="0.25">
      <c r="A136" s="224" t="s">
        <v>245</v>
      </c>
      <c r="B136" s="157">
        <f t="shared" si="17"/>
        <v>131</v>
      </c>
      <c r="C136" s="10"/>
      <c r="D136" s="10" t="s">
        <v>246</v>
      </c>
      <c r="E136" s="21">
        <f>SUBTOTAL(9,E137:E141)</f>
        <v>30970</v>
      </c>
      <c r="F136" s="21">
        <f>SUBTOTAL(9,F137:F141)</f>
        <v>28500</v>
      </c>
      <c r="G136" s="21"/>
      <c r="H136" s="21"/>
      <c r="I136" s="21"/>
      <c r="J136" s="21"/>
      <c r="K136" s="14"/>
      <c r="M136" s="6"/>
      <c r="N136" s="6"/>
    </row>
    <row r="137" spans="1:14" outlineLevel="3" x14ac:dyDescent="0.25">
      <c r="A137" s="225" t="s">
        <v>247</v>
      </c>
      <c r="B137" s="158">
        <f t="shared" si="17"/>
        <v>132</v>
      </c>
      <c r="C137" s="10" t="s">
        <v>248</v>
      </c>
      <c r="D137" s="13" t="s">
        <v>73</v>
      </c>
      <c r="E137" s="21">
        <f>[1]WiWi!E12</f>
        <v>15000</v>
      </c>
      <c r="F137" s="21">
        <f>[1]WiWi!G12</f>
        <v>14000</v>
      </c>
      <c r="G137" s="21"/>
      <c r="H137" s="21"/>
      <c r="I137" s="21"/>
      <c r="J137" s="21"/>
      <c r="K137" s="14"/>
      <c r="N137" s="6"/>
    </row>
    <row r="138" spans="1:14" outlineLevel="3" x14ac:dyDescent="0.25">
      <c r="A138" s="225" t="s">
        <v>249</v>
      </c>
      <c r="B138" s="158">
        <f t="shared" si="17"/>
        <v>133</v>
      </c>
      <c r="C138" s="10" t="s">
        <v>250</v>
      </c>
      <c r="D138" s="13" t="s">
        <v>75</v>
      </c>
      <c r="E138" s="21">
        <f>KSW!E12</f>
        <v>3570</v>
      </c>
      <c r="F138" s="21">
        <f>KSW!G12</f>
        <v>1000</v>
      </c>
      <c r="G138" s="21"/>
      <c r="H138" s="21"/>
      <c r="I138" s="21"/>
      <c r="J138" s="21"/>
      <c r="K138" s="14"/>
      <c r="M138" s="6"/>
      <c r="N138" s="6"/>
    </row>
    <row r="139" spans="1:14" outlineLevel="3" x14ac:dyDescent="0.25">
      <c r="A139" s="225" t="s">
        <v>251</v>
      </c>
      <c r="B139" s="158">
        <f t="shared" si="17"/>
        <v>134</v>
      </c>
      <c r="C139" s="10" t="s">
        <v>252</v>
      </c>
      <c r="D139" s="13" t="s">
        <v>78</v>
      </c>
      <c r="E139" s="21">
        <f>PSY!E12</f>
        <v>2600</v>
      </c>
      <c r="F139" s="21">
        <f>PSY!G12</f>
        <v>1500</v>
      </c>
      <c r="G139" s="21"/>
      <c r="H139" s="21"/>
      <c r="I139" s="21"/>
      <c r="J139" s="21"/>
      <c r="K139" s="14"/>
      <c r="N139" s="6"/>
    </row>
    <row r="140" spans="1:14" outlineLevel="3" x14ac:dyDescent="0.25">
      <c r="A140" s="225" t="s">
        <v>253</v>
      </c>
      <c r="B140" s="158">
        <f t="shared" si="17"/>
        <v>135</v>
      </c>
      <c r="C140" s="10" t="s">
        <v>254</v>
      </c>
      <c r="D140" s="13" t="s">
        <v>81</v>
      </c>
      <c r="E140" s="21">
        <f>ReWi!E12</f>
        <v>7800</v>
      </c>
      <c r="F140" s="21">
        <f>ReWi!G12</f>
        <v>8000</v>
      </c>
      <c r="G140" s="21"/>
      <c r="H140" s="21"/>
      <c r="I140" s="21"/>
      <c r="J140" s="21"/>
      <c r="K140" s="14"/>
      <c r="M140" s="6"/>
      <c r="N140" s="6"/>
    </row>
    <row r="141" spans="1:14" outlineLevel="3" x14ac:dyDescent="0.25">
      <c r="A141" s="225" t="s">
        <v>255</v>
      </c>
      <c r="B141" s="158">
        <f t="shared" si="17"/>
        <v>136</v>
      </c>
      <c r="C141" s="10" t="s">
        <v>256</v>
      </c>
      <c r="D141" s="13" t="s">
        <v>83</v>
      </c>
      <c r="E141" s="21">
        <f>M_I!E12</f>
        <v>2000</v>
      </c>
      <c r="F141" s="21">
        <f>M_I!G12</f>
        <v>4000</v>
      </c>
      <c r="G141" s="21"/>
      <c r="H141" s="21"/>
      <c r="I141" s="21"/>
      <c r="J141" s="21"/>
      <c r="K141" s="14"/>
      <c r="N141" s="6"/>
    </row>
    <row r="142" spans="1:14" outlineLevel="2" x14ac:dyDescent="0.25">
      <c r="A142" s="224" t="s">
        <v>257</v>
      </c>
      <c r="B142" s="157">
        <f t="shared" si="17"/>
        <v>137</v>
      </c>
      <c r="C142" s="10" t="s">
        <v>258</v>
      </c>
      <c r="D142" s="10" t="s">
        <v>259</v>
      </c>
      <c r="E142" s="21">
        <v>3000</v>
      </c>
      <c r="F142" s="21">
        <v>2500</v>
      </c>
      <c r="G142" s="21"/>
      <c r="H142" s="21"/>
      <c r="I142" s="21"/>
      <c r="J142" s="21"/>
      <c r="K142" s="14"/>
      <c r="M142" s="6"/>
      <c r="N142" s="6"/>
    </row>
    <row r="143" spans="1:14" outlineLevel="1" x14ac:dyDescent="0.25">
      <c r="B143" s="154">
        <f t="shared" si="17"/>
        <v>138</v>
      </c>
      <c r="H143" s="14"/>
      <c r="I143" s="14"/>
      <c r="J143" s="14"/>
      <c r="K143" s="14"/>
      <c r="N143" s="6"/>
    </row>
    <row r="144" spans="1:14" outlineLevel="1" x14ac:dyDescent="0.25">
      <c r="A144" s="223" t="s">
        <v>260</v>
      </c>
      <c r="B144" s="156">
        <f t="shared" si="17"/>
        <v>139</v>
      </c>
      <c r="C144" s="9"/>
      <c r="D144" s="9" t="s">
        <v>261</v>
      </c>
      <c r="E144" s="20">
        <f>SUBTOTAL(9,E145:E154)</f>
        <v>43070</v>
      </c>
      <c r="F144" s="20">
        <f>SUBTOTAL(9,F145:F154)</f>
        <v>24810</v>
      </c>
      <c r="G144" s="20"/>
      <c r="H144" s="20"/>
      <c r="I144" s="20"/>
      <c r="J144" s="20"/>
      <c r="K144" s="14"/>
      <c r="M144" s="6"/>
      <c r="N144" s="6"/>
    </row>
    <row r="145" spans="1:18" outlineLevel="2" x14ac:dyDescent="0.25">
      <c r="A145" s="224" t="s">
        <v>262</v>
      </c>
      <c r="B145" s="157">
        <f t="shared" si="17"/>
        <v>140</v>
      </c>
      <c r="C145" s="10" t="s">
        <v>44</v>
      </c>
      <c r="D145" s="10" t="s">
        <v>239</v>
      </c>
      <c r="E145" s="21">
        <v>500</v>
      </c>
      <c r="F145" s="21">
        <v>0</v>
      </c>
      <c r="G145" s="21"/>
      <c r="H145" s="21"/>
      <c r="I145" s="21"/>
      <c r="J145" s="21"/>
      <c r="K145" s="14"/>
      <c r="N145" s="6"/>
    </row>
    <row r="146" spans="1:18" outlineLevel="2" x14ac:dyDescent="0.25">
      <c r="A146" s="224" t="s">
        <v>263</v>
      </c>
      <c r="B146" s="157">
        <f t="shared" si="17"/>
        <v>141</v>
      </c>
      <c r="C146" s="10" t="s">
        <v>264</v>
      </c>
      <c r="D146" s="10" t="s">
        <v>265</v>
      </c>
      <c r="E146" s="21">
        <v>13000</v>
      </c>
      <c r="F146" s="21">
        <v>10350</v>
      </c>
      <c r="G146" s="21"/>
      <c r="H146" s="21"/>
      <c r="I146" s="21"/>
      <c r="J146" s="21"/>
      <c r="K146" s="14"/>
      <c r="L146" t="s">
        <v>266</v>
      </c>
      <c r="M146" s="6"/>
      <c r="N146" s="6"/>
    </row>
    <row r="147" spans="1:18" outlineLevel="2" x14ac:dyDescent="0.25">
      <c r="A147" s="224" t="s">
        <v>267</v>
      </c>
      <c r="B147" s="157">
        <f t="shared" si="17"/>
        <v>142</v>
      </c>
      <c r="C147" s="10" t="s">
        <v>268</v>
      </c>
      <c r="D147" s="13" t="s">
        <v>269</v>
      </c>
      <c r="E147" s="21">
        <f>Referatspläne!H3</f>
        <v>16250</v>
      </c>
      <c r="F147" s="21">
        <f>Referatspläne!H2</f>
        <v>5960</v>
      </c>
      <c r="G147" s="21"/>
      <c r="H147" s="21"/>
      <c r="I147" s="21"/>
      <c r="J147" s="21"/>
      <c r="K147" s="14"/>
      <c r="L147" t="s">
        <v>270</v>
      </c>
      <c r="N147" s="6"/>
    </row>
    <row r="148" spans="1:18" outlineLevel="2" x14ac:dyDescent="0.25">
      <c r="A148" s="224" t="s">
        <v>271</v>
      </c>
      <c r="B148" s="157">
        <f t="shared" si="17"/>
        <v>143</v>
      </c>
      <c r="C148" s="10"/>
      <c r="D148" s="10" t="s">
        <v>272</v>
      </c>
      <c r="E148" s="21">
        <f>SUBTOTAL(9,E149:E153)</f>
        <v>11320</v>
      </c>
      <c r="F148" s="21">
        <f>SUBTOTAL(9,F149:F153)</f>
        <v>7000</v>
      </c>
      <c r="G148" s="21"/>
      <c r="H148" s="21"/>
      <c r="I148" s="21"/>
      <c r="J148" s="21"/>
      <c r="K148" s="14"/>
      <c r="M148" s="6"/>
      <c r="N148" s="6"/>
    </row>
    <row r="149" spans="1:18" outlineLevel="3" x14ac:dyDescent="0.25">
      <c r="A149" s="225" t="s">
        <v>273</v>
      </c>
      <c r="B149" s="158">
        <f t="shared" si="17"/>
        <v>144</v>
      </c>
      <c r="C149" s="10" t="s">
        <v>274</v>
      </c>
      <c r="D149" s="13" t="s">
        <v>275</v>
      </c>
      <c r="E149" s="21">
        <f>[1]WiWi!E13</f>
        <v>4200</v>
      </c>
      <c r="F149" s="21">
        <f>[1]WiWi!G13</f>
        <v>3000</v>
      </c>
      <c r="G149" s="21"/>
      <c r="H149" s="21"/>
      <c r="I149" s="21"/>
      <c r="J149" s="21"/>
      <c r="K149" s="14"/>
      <c r="L149" t="s">
        <v>276</v>
      </c>
      <c r="N149" s="6"/>
    </row>
    <row r="150" spans="1:18" outlineLevel="3" x14ac:dyDescent="0.25">
      <c r="A150" s="225" t="s">
        <v>277</v>
      </c>
      <c r="B150" s="158">
        <f t="shared" si="17"/>
        <v>145</v>
      </c>
      <c r="C150" s="10" t="s">
        <v>278</v>
      </c>
      <c r="D150" s="13" t="s">
        <v>279</v>
      </c>
      <c r="E150" s="21">
        <f>KSW!E13</f>
        <v>2670</v>
      </c>
      <c r="F150" s="21">
        <f>KSW!G13</f>
        <v>500</v>
      </c>
      <c r="G150" s="21"/>
      <c r="H150" s="21"/>
      <c r="I150" s="21"/>
      <c r="J150" s="21"/>
      <c r="K150" s="14"/>
      <c r="M150" s="6"/>
      <c r="N150" s="6"/>
    </row>
    <row r="151" spans="1:18" outlineLevel="3" x14ac:dyDescent="0.25">
      <c r="A151" s="225" t="s">
        <v>280</v>
      </c>
      <c r="B151" s="158">
        <f t="shared" si="17"/>
        <v>146</v>
      </c>
      <c r="C151" s="10" t="s">
        <v>281</v>
      </c>
      <c r="D151" s="13" t="s">
        <v>282</v>
      </c>
      <c r="E151" s="21">
        <f>PSY!E13</f>
        <v>1600</v>
      </c>
      <c r="F151" s="21">
        <f>PSY!G13</f>
        <v>500</v>
      </c>
      <c r="G151" s="21"/>
      <c r="H151" s="21"/>
      <c r="I151" s="21"/>
      <c r="J151" s="21"/>
      <c r="K151" s="14"/>
      <c r="N151" s="6"/>
    </row>
    <row r="152" spans="1:18" outlineLevel="3" x14ac:dyDescent="0.25">
      <c r="A152" s="225" t="s">
        <v>283</v>
      </c>
      <c r="B152" s="158">
        <f t="shared" si="17"/>
        <v>147</v>
      </c>
      <c r="C152" s="10" t="s">
        <v>284</v>
      </c>
      <c r="D152" s="13" t="s">
        <v>285</v>
      </c>
      <c r="E152" s="21">
        <f>ReWi!E13</f>
        <v>1700</v>
      </c>
      <c r="F152" s="21">
        <f>ReWi!G13</f>
        <v>2000</v>
      </c>
      <c r="G152" s="21"/>
      <c r="H152" s="21"/>
      <c r="I152" s="21"/>
      <c r="J152" s="21"/>
      <c r="K152" s="14"/>
      <c r="M152" s="6"/>
      <c r="N152" s="6"/>
    </row>
    <row r="153" spans="1:18" outlineLevel="3" x14ac:dyDescent="0.25">
      <c r="A153" s="225" t="s">
        <v>286</v>
      </c>
      <c r="B153" s="158">
        <f t="shared" si="17"/>
        <v>148</v>
      </c>
      <c r="C153" s="10" t="s">
        <v>287</v>
      </c>
      <c r="D153" s="13" t="s">
        <v>288</v>
      </c>
      <c r="E153" s="21">
        <f>M_I!E13</f>
        <v>1150</v>
      </c>
      <c r="F153" s="21">
        <f>M_I!G13</f>
        <v>1000</v>
      </c>
      <c r="G153" s="21"/>
      <c r="H153" s="21"/>
      <c r="I153" s="21"/>
      <c r="J153" s="21"/>
      <c r="K153" s="14"/>
      <c r="N153" s="6"/>
    </row>
    <row r="154" spans="1:18" outlineLevel="2" x14ac:dyDescent="0.25">
      <c r="A154" s="224" t="s">
        <v>289</v>
      </c>
      <c r="B154" s="157">
        <f t="shared" si="17"/>
        <v>149</v>
      </c>
      <c r="C154" s="10" t="s">
        <v>290</v>
      </c>
      <c r="D154" s="10" t="s">
        <v>154</v>
      </c>
      <c r="E154" s="21">
        <v>2000</v>
      </c>
      <c r="F154" s="21">
        <v>1500</v>
      </c>
      <c r="G154" s="21"/>
      <c r="H154" s="21"/>
      <c r="I154" s="21"/>
      <c r="J154" s="21"/>
      <c r="K154" s="14"/>
      <c r="M154" s="6"/>
      <c r="N154" s="6"/>
    </row>
    <row r="155" spans="1:18" outlineLevel="1" x14ac:dyDescent="0.25">
      <c r="B155" s="154">
        <f t="shared" si="17"/>
        <v>150</v>
      </c>
      <c r="H155" s="14"/>
      <c r="I155" s="14"/>
      <c r="J155" s="14"/>
      <c r="K155" s="14"/>
      <c r="N155" s="6"/>
    </row>
    <row r="156" spans="1:18" outlineLevel="1" x14ac:dyDescent="0.25">
      <c r="A156" s="223" t="s">
        <v>291</v>
      </c>
      <c r="B156" s="156">
        <f t="shared" si="17"/>
        <v>151</v>
      </c>
      <c r="C156" s="9"/>
      <c r="D156" s="9" t="s">
        <v>292</v>
      </c>
      <c r="E156" s="20">
        <f>SUBTOTAL(9,E157:E166)</f>
        <v>12800</v>
      </c>
      <c r="F156" s="20">
        <f>SUBTOTAL(9,F157:F166)</f>
        <v>6850</v>
      </c>
      <c r="G156" s="20"/>
      <c r="H156" s="20"/>
      <c r="I156" s="20"/>
      <c r="J156" s="20"/>
      <c r="K156" s="14"/>
      <c r="M156" s="6"/>
      <c r="N156" s="6"/>
    </row>
    <row r="157" spans="1:18" outlineLevel="2" x14ac:dyDescent="0.25">
      <c r="A157" s="224" t="s">
        <v>293</v>
      </c>
      <c r="B157" s="157">
        <f t="shared" si="17"/>
        <v>152</v>
      </c>
      <c r="C157" s="10" t="s">
        <v>263</v>
      </c>
      <c r="D157" s="10" t="s">
        <v>265</v>
      </c>
      <c r="E157" s="21">
        <v>2500</v>
      </c>
      <c r="F157" s="21">
        <v>2500</v>
      </c>
      <c r="G157" s="21"/>
      <c r="H157" s="21"/>
      <c r="I157" s="21"/>
      <c r="J157" s="21"/>
      <c r="K157" s="14"/>
      <c r="N157" s="6"/>
    </row>
    <row r="158" spans="1:18" outlineLevel="2" x14ac:dyDescent="0.25">
      <c r="A158" s="224" t="s">
        <v>294</v>
      </c>
      <c r="B158" s="157">
        <f t="shared" si="17"/>
        <v>153</v>
      </c>
      <c r="C158" s="10" t="s">
        <v>262</v>
      </c>
      <c r="D158" s="13" t="s">
        <v>295</v>
      </c>
      <c r="E158" s="21">
        <f>Referatspläne!F3</f>
        <v>5050</v>
      </c>
      <c r="F158" s="21">
        <f>Referatspläne!F2</f>
        <v>2500</v>
      </c>
      <c r="G158" s="21"/>
      <c r="H158" s="21"/>
      <c r="I158" s="21"/>
      <c r="J158" s="21"/>
      <c r="K158" s="47"/>
      <c r="L158" s="269"/>
      <c r="M158" s="6"/>
      <c r="N158" s="6"/>
      <c r="O158" s="269"/>
      <c r="P158" s="269"/>
      <c r="Q158" s="269"/>
      <c r="R158" s="269"/>
    </row>
    <row r="159" spans="1:18" outlineLevel="2" x14ac:dyDescent="0.25">
      <c r="A159" s="224" t="s">
        <v>296</v>
      </c>
      <c r="B159" s="157">
        <f t="shared" si="17"/>
        <v>154</v>
      </c>
      <c r="C159" s="10" t="s">
        <v>267</v>
      </c>
      <c r="D159" s="10" t="s">
        <v>297</v>
      </c>
      <c r="E159" s="21">
        <v>1000</v>
      </c>
      <c r="F159" s="21">
        <v>100</v>
      </c>
      <c r="G159" s="21"/>
      <c r="H159" s="21"/>
      <c r="I159" s="21"/>
      <c r="J159" s="21"/>
      <c r="K159" s="14"/>
      <c r="N159" s="6"/>
    </row>
    <row r="160" spans="1:18" outlineLevel="2" x14ac:dyDescent="0.25">
      <c r="A160" s="224" t="s">
        <v>298</v>
      </c>
      <c r="B160" s="157">
        <f t="shared" si="17"/>
        <v>155</v>
      </c>
      <c r="C160" s="10"/>
      <c r="D160" s="10" t="s">
        <v>299</v>
      </c>
      <c r="E160" s="21">
        <f>SUBTOTAL(9,E161:E165)</f>
        <v>3750</v>
      </c>
      <c r="F160" s="21">
        <f>SUBTOTAL(9,F161:F165)</f>
        <v>1550</v>
      </c>
      <c r="G160" s="21"/>
      <c r="H160" s="21"/>
      <c r="I160" s="21"/>
      <c r="J160" s="21"/>
      <c r="K160" s="14"/>
      <c r="M160" s="6"/>
      <c r="N160" s="6"/>
    </row>
    <row r="161" spans="1:14" outlineLevel="3" x14ac:dyDescent="0.25">
      <c r="A161" s="225" t="s">
        <v>300</v>
      </c>
      <c r="B161" s="158">
        <f t="shared" si="17"/>
        <v>156</v>
      </c>
      <c r="C161" s="10" t="s">
        <v>1257</v>
      </c>
      <c r="D161" s="13" t="s">
        <v>275</v>
      </c>
      <c r="E161" s="21">
        <f>[1]WiWi!E14</f>
        <v>1000</v>
      </c>
      <c r="F161" s="21">
        <f>[1]WiWi!G14</f>
        <v>200</v>
      </c>
      <c r="G161" s="21"/>
      <c r="H161" s="21"/>
      <c r="I161" s="21"/>
      <c r="J161" s="21"/>
      <c r="K161" s="14"/>
      <c r="N161" s="6"/>
    </row>
    <row r="162" spans="1:14" outlineLevel="3" x14ac:dyDescent="0.25">
      <c r="A162" s="225" t="s">
        <v>302</v>
      </c>
      <c r="B162" s="158">
        <f t="shared" si="17"/>
        <v>157</v>
      </c>
      <c r="C162" s="10" t="s">
        <v>303</v>
      </c>
      <c r="D162" s="13" t="s">
        <v>279</v>
      </c>
      <c r="E162" s="21">
        <f>KSW!E14</f>
        <v>1200</v>
      </c>
      <c r="F162" s="21">
        <f>KSW!G14</f>
        <v>100</v>
      </c>
      <c r="G162" s="21"/>
      <c r="H162" s="21"/>
      <c r="I162" s="21"/>
      <c r="J162" s="21"/>
      <c r="K162" s="14"/>
      <c r="M162" s="6"/>
      <c r="N162" s="6"/>
    </row>
    <row r="163" spans="1:14" outlineLevel="3" x14ac:dyDescent="0.25">
      <c r="A163" s="225" t="s">
        <v>304</v>
      </c>
      <c r="B163" s="158">
        <f t="shared" si="17"/>
        <v>158</v>
      </c>
      <c r="C163" s="10" t="s">
        <v>305</v>
      </c>
      <c r="D163" s="13" t="s">
        <v>282</v>
      </c>
      <c r="E163" s="21">
        <f>PSY!E14</f>
        <v>400</v>
      </c>
      <c r="F163" s="21">
        <f>PSY!G14</f>
        <v>500</v>
      </c>
      <c r="G163" s="21"/>
      <c r="H163" s="21"/>
      <c r="I163" s="21"/>
      <c r="J163" s="21"/>
      <c r="K163" s="14"/>
      <c r="N163" s="6"/>
    </row>
    <row r="164" spans="1:14" outlineLevel="3" x14ac:dyDescent="0.25">
      <c r="A164" s="225" t="s">
        <v>306</v>
      </c>
      <c r="B164" s="158">
        <f t="shared" si="17"/>
        <v>159</v>
      </c>
      <c r="C164" s="10" t="s">
        <v>307</v>
      </c>
      <c r="D164" s="13" t="s">
        <v>285</v>
      </c>
      <c r="E164" s="21">
        <f>ReWi!E14</f>
        <v>500</v>
      </c>
      <c r="F164" s="21">
        <f>ReWi!G14</f>
        <v>500</v>
      </c>
      <c r="G164" s="21"/>
      <c r="H164" s="21"/>
      <c r="I164" s="21"/>
      <c r="J164" s="21"/>
      <c r="K164" s="14"/>
      <c r="M164" s="6"/>
      <c r="N164" s="6"/>
    </row>
    <row r="165" spans="1:14" outlineLevel="3" x14ac:dyDescent="0.25">
      <c r="A165" s="225" t="s">
        <v>308</v>
      </c>
      <c r="B165" s="158">
        <f t="shared" si="17"/>
        <v>160</v>
      </c>
      <c r="C165" s="10" t="s">
        <v>309</v>
      </c>
      <c r="D165" s="13" t="s">
        <v>288</v>
      </c>
      <c r="E165" s="21">
        <f>M_I!E14</f>
        <v>650</v>
      </c>
      <c r="F165" s="21">
        <f>M_I!G14</f>
        <v>250</v>
      </c>
      <c r="G165" s="21"/>
      <c r="H165" s="21"/>
      <c r="I165" s="21"/>
      <c r="J165" s="21"/>
      <c r="K165" s="14"/>
      <c r="N165" s="6"/>
    </row>
    <row r="166" spans="1:14" outlineLevel="2" x14ac:dyDescent="0.25">
      <c r="A166" s="224" t="s">
        <v>310</v>
      </c>
      <c r="B166" s="157">
        <f t="shared" si="17"/>
        <v>161</v>
      </c>
      <c r="C166" s="10" t="s">
        <v>311</v>
      </c>
      <c r="D166" s="10" t="s">
        <v>154</v>
      </c>
      <c r="E166" s="21">
        <v>500</v>
      </c>
      <c r="F166" s="21">
        <v>200</v>
      </c>
      <c r="G166" s="21"/>
      <c r="H166" s="21"/>
      <c r="I166" s="21"/>
      <c r="J166" s="21"/>
      <c r="K166" s="14"/>
      <c r="M166" s="6"/>
      <c r="N166" s="6"/>
    </row>
    <row r="167" spans="1:14" outlineLevel="1" x14ac:dyDescent="0.25">
      <c r="B167" s="154">
        <f t="shared" si="17"/>
        <v>162</v>
      </c>
      <c r="H167" s="14"/>
      <c r="I167" s="14"/>
      <c r="J167" s="14"/>
      <c r="K167" s="14"/>
      <c r="N167" s="6"/>
    </row>
    <row r="168" spans="1:14" outlineLevel="1" x14ac:dyDescent="0.25">
      <c r="A168" s="223" t="s">
        <v>312</v>
      </c>
      <c r="B168" s="156">
        <f t="shared" si="17"/>
        <v>163</v>
      </c>
      <c r="C168" s="9"/>
      <c r="D168" s="9" t="s">
        <v>313</v>
      </c>
      <c r="E168" s="20">
        <f>SUBTOTAL(9,E169:E172)</f>
        <v>4000</v>
      </c>
      <c r="F168" s="20">
        <f>SUBTOTAL(9,F169:F172)</f>
        <v>364000</v>
      </c>
      <c r="G168" s="20"/>
      <c r="H168" s="20"/>
      <c r="I168" s="20"/>
      <c r="J168" s="20"/>
      <c r="K168" s="14"/>
      <c r="M168" s="6"/>
      <c r="N168" s="6"/>
    </row>
    <row r="169" spans="1:14" outlineLevel="2" x14ac:dyDescent="0.25">
      <c r="A169" s="224" t="s">
        <v>314</v>
      </c>
      <c r="B169" s="157">
        <f t="shared" si="17"/>
        <v>164</v>
      </c>
      <c r="C169" s="10" t="s">
        <v>293</v>
      </c>
      <c r="D169" s="10" t="s">
        <v>315</v>
      </c>
      <c r="E169" s="21">
        <v>0</v>
      </c>
      <c r="F169" s="21">
        <v>155000</v>
      </c>
      <c r="G169" s="21"/>
      <c r="H169" s="21"/>
      <c r="I169" s="21"/>
      <c r="J169" s="21"/>
      <c r="K169" s="14"/>
      <c r="N169" s="6"/>
    </row>
    <row r="170" spans="1:14" outlineLevel="2" x14ac:dyDescent="0.25">
      <c r="A170" s="224" t="s">
        <v>316</v>
      </c>
      <c r="B170" s="157">
        <f t="shared" si="17"/>
        <v>165</v>
      </c>
      <c r="C170" s="10" t="s">
        <v>294</v>
      </c>
      <c r="D170" s="10" t="s">
        <v>317</v>
      </c>
      <c r="E170" s="21">
        <v>0</v>
      </c>
      <c r="F170" s="21">
        <v>205000</v>
      </c>
      <c r="G170" s="21"/>
      <c r="H170" s="21"/>
      <c r="I170" s="21"/>
      <c r="J170" s="21"/>
      <c r="K170" s="14"/>
      <c r="M170" s="6"/>
      <c r="N170" s="6"/>
    </row>
    <row r="171" spans="1:14" outlineLevel="2" x14ac:dyDescent="0.25">
      <c r="A171" s="224" t="s">
        <v>318</v>
      </c>
      <c r="B171" s="157">
        <f t="shared" si="17"/>
        <v>166</v>
      </c>
      <c r="C171" s="10" t="s">
        <v>296</v>
      </c>
      <c r="D171" s="10" t="s">
        <v>319</v>
      </c>
      <c r="E171" s="21">
        <v>2000</v>
      </c>
      <c r="F171" s="21">
        <v>2000</v>
      </c>
      <c r="G171" s="21"/>
      <c r="H171" s="21"/>
      <c r="I171" s="21"/>
      <c r="J171" s="21"/>
      <c r="K171" s="14"/>
      <c r="N171" s="6"/>
    </row>
    <row r="172" spans="1:14" outlineLevel="2" x14ac:dyDescent="0.25">
      <c r="A172" s="224" t="s">
        <v>320</v>
      </c>
      <c r="B172" s="157">
        <f t="shared" si="17"/>
        <v>167</v>
      </c>
      <c r="C172" s="10" t="s">
        <v>298</v>
      </c>
      <c r="D172" s="10" t="s">
        <v>321</v>
      </c>
      <c r="E172" s="21">
        <v>2000</v>
      </c>
      <c r="F172" s="21">
        <v>2000</v>
      </c>
      <c r="G172" s="21"/>
      <c r="H172" s="21"/>
      <c r="I172" s="21"/>
      <c r="J172" s="21"/>
      <c r="K172" s="14"/>
      <c r="M172" s="6"/>
      <c r="N172" s="6"/>
    </row>
    <row r="173" spans="1:14" outlineLevel="1" x14ac:dyDescent="0.25">
      <c r="B173" s="154">
        <f t="shared" si="17"/>
        <v>168</v>
      </c>
      <c r="H173" s="14"/>
      <c r="I173" s="14"/>
      <c r="J173" s="14"/>
      <c r="K173" s="14"/>
      <c r="N173" s="6"/>
    </row>
    <row r="174" spans="1:14" outlineLevel="1" x14ac:dyDescent="0.25">
      <c r="A174" s="223" t="s">
        <v>322</v>
      </c>
      <c r="B174" s="156">
        <f t="shared" si="17"/>
        <v>169</v>
      </c>
      <c r="C174" s="9"/>
      <c r="D174" s="9" t="s">
        <v>323</v>
      </c>
      <c r="E174" s="20">
        <f>SUBTOTAL(9,E175:E181)</f>
        <v>52910</v>
      </c>
      <c r="F174" s="20">
        <f>SUBTOTAL(9,F175:F181)</f>
        <v>49100</v>
      </c>
      <c r="G174" s="20"/>
      <c r="H174" s="20"/>
      <c r="I174" s="20"/>
      <c r="J174" s="20"/>
      <c r="K174" s="14"/>
      <c r="M174" s="6"/>
      <c r="N174" s="6"/>
    </row>
    <row r="175" spans="1:14" outlineLevel="2" x14ac:dyDescent="0.25">
      <c r="A175" s="224" t="s">
        <v>324</v>
      </c>
      <c r="B175" s="157">
        <f t="shared" si="17"/>
        <v>170</v>
      </c>
      <c r="C175" s="10" t="s">
        <v>325</v>
      </c>
      <c r="D175" s="13" t="s">
        <v>326</v>
      </c>
      <c r="E175" s="21">
        <f>Referatspläne!B3</f>
        <v>9180</v>
      </c>
      <c r="F175" s="21">
        <f>Referatspläne!B2</f>
        <v>1150</v>
      </c>
      <c r="G175" s="21"/>
      <c r="H175" s="21"/>
      <c r="I175" s="21"/>
      <c r="J175" s="21"/>
      <c r="K175" s="14"/>
      <c r="N175" s="6"/>
    </row>
    <row r="176" spans="1:14" outlineLevel="2" x14ac:dyDescent="0.25">
      <c r="A176" s="224" t="s">
        <v>327</v>
      </c>
      <c r="B176" s="157">
        <f t="shared" si="17"/>
        <v>171</v>
      </c>
      <c r="C176" s="10" t="s">
        <v>328</v>
      </c>
      <c r="D176" s="13" t="s">
        <v>329</v>
      </c>
      <c r="E176" s="21">
        <f>Referatspläne!C3</f>
        <v>10200</v>
      </c>
      <c r="F176" s="21">
        <f>Referatspläne!C2</f>
        <v>8050</v>
      </c>
      <c r="G176" s="21"/>
      <c r="H176" s="21"/>
      <c r="I176" s="21"/>
      <c r="J176" s="21"/>
      <c r="K176" s="14"/>
      <c r="L176" t="s">
        <v>330</v>
      </c>
      <c r="M176" s="6"/>
      <c r="N176" s="6"/>
    </row>
    <row r="177" spans="1:14" outlineLevel="2" x14ac:dyDescent="0.25">
      <c r="A177" s="224" t="s">
        <v>331</v>
      </c>
      <c r="B177" s="157">
        <f t="shared" si="17"/>
        <v>172</v>
      </c>
      <c r="C177" s="10" t="s">
        <v>332</v>
      </c>
      <c r="D177" s="13" t="s">
        <v>333</v>
      </c>
      <c r="E177" s="21">
        <f>Referatspläne!E3</f>
        <v>3850</v>
      </c>
      <c r="F177" s="21">
        <f>Referatspläne!E2</f>
        <v>2300</v>
      </c>
      <c r="G177" s="21"/>
      <c r="H177" s="21"/>
      <c r="I177" s="21"/>
      <c r="J177" s="21"/>
      <c r="K177" s="14"/>
      <c r="L177" t="s">
        <v>334</v>
      </c>
      <c r="N177" s="6"/>
    </row>
    <row r="178" spans="1:14" outlineLevel="2" x14ac:dyDescent="0.25">
      <c r="A178" s="224" t="s">
        <v>335</v>
      </c>
      <c r="B178" s="157">
        <f t="shared" si="17"/>
        <v>173</v>
      </c>
      <c r="C178" s="10" t="s">
        <v>336</v>
      </c>
      <c r="D178" s="13" t="s">
        <v>337</v>
      </c>
      <c r="E178" s="21">
        <f>Referatspläne!G3</f>
        <v>10100</v>
      </c>
      <c r="F178" s="21">
        <f>Referatspläne!G2</f>
        <v>13500</v>
      </c>
      <c r="G178" s="21"/>
      <c r="H178" s="21"/>
      <c r="I178" s="21"/>
      <c r="J178" s="21"/>
      <c r="K178" s="14"/>
      <c r="M178" s="6"/>
      <c r="N178" s="6"/>
    </row>
    <row r="179" spans="1:14" outlineLevel="2" x14ac:dyDescent="0.25">
      <c r="A179" s="224" t="s">
        <v>338</v>
      </c>
      <c r="B179" s="157">
        <f t="shared" si="17"/>
        <v>174</v>
      </c>
      <c r="C179" s="10" t="s">
        <v>339</v>
      </c>
      <c r="D179" s="13" t="s">
        <v>340</v>
      </c>
      <c r="E179" s="21">
        <f>Referatspläne!I3</f>
        <v>4730</v>
      </c>
      <c r="F179" s="21">
        <f>Referatspläne!I2</f>
        <v>22000</v>
      </c>
      <c r="G179" s="21"/>
      <c r="H179" s="21"/>
      <c r="I179" s="21"/>
      <c r="J179" s="21"/>
      <c r="K179" s="14"/>
      <c r="N179" s="6"/>
    </row>
    <row r="180" spans="1:14" outlineLevel="2" x14ac:dyDescent="0.25">
      <c r="A180" s="224" t="s">
        <v>341</v>
      </c>
      <c r="B180" s="157">
        <f t="shared" si="17"/>
        <v>175</v>
      </c>
      <c r="C180" s="10"/>
      <c r="D180" s="13" t="s">
        <v>342</v>
      </c>
      <c r="E180" s="21">
        <f>Referatspläne!J3</f>
        <v>3150</v>
      </c>
      <c r="F180" s="21">
        <f>Referatspläne!J2</f>
        <v>0</v>
      </c>
      <c r="G180" s="21"/>
      <c r="H180" s="21"/>
      <c r="I180" s="21"/>
      <c r="J180" s="21"/>
      <c r="K180" s="14"/>
      <c r="M180" s="6"/>
      <c r="N180" s="6"/>
    </row>
    <row r="181" spans="1:14" outlineLevel="2" x14ac:dyDescent="0.25">
      <c r="A181" s="224" t="s">
        <v>343</v>
      </c>
      <c r="B181" s="157">
        <f t="shared" si="17"/>
        <v>176</v>
      </c>
      <c r="C181" s="10" t="s">
        <v>344</v>
      </c>
      <c r="D181" s="13" t="s">
        <v>321</v>
      </c>
      <c r="E181" s="21">
        <f>Referatspläne!K3</f>
        <v>11700</v>
      </c>
      <c r="F181" s="21">
        <f>Referatspläne!K2</f>
        <v>2100</v>
      </c>
      <c r="G181" s="21"/>
      <c r="H181" s="21"/>
      <c r="I181" s="21"/>
      <c r="J181" s="21"/>
      <c r="K181" s="14"/>
      <c r="N181" s="6"/>
    </row>
    <row r="182" spans="1:14" outlineLevel="1" x14ac:dyDescent="0.25">
      <c r="B182" s="154">
        <f t="shared" si="17"/>
        <v>177</v>
      </c>
      <c r="H182" s="14"/>
      <c r="I182" s="14"/>
      <c r="J182" s="14"/>
      <c r="K182" s="14"/>
      <c r="M182" s="6"/>
      <c r="N182" s="6"/>
    </row>
    <row r="183" spans="1:14" outlineLevel="1" x14ac:dyDescent="0.25">
      <c r="A183" s="223" t="s">
        <v>345</v>
      </c>
      <c r="B183" s="156">
        <f>ROW(B178)</f>
        <v>178</v>
      </c>
      <c r="C183" s="9"/>
      <c r="D183" s="9" t="s">
        <v>346</v>
      </c>
      <c r="E183" s="20">
        <f>SUBTOTAL(9,E184:E225)</f>
        <v>162215</v>
      </c>
      <c r="F183" s="20">
        <f>SUBTOTAL(9,F184:F225)</f>
        <v>152900</v>
      </c>
      <c r="G183" s="20"/>
      <c r="H183" s="20"/>
      <c r="I183" s="20"/>
      <c r="J183" s="20"/>
      <c r="K183" s="14"/>
      <c r="N183" s="6"/>
    </row>
    <row r="184" spans="1:14" outlineLevel="2" x14ac:dyDescent="0.25">
      <c r="A184" s="224" t="s">
        <v>347</v>
      </c>
      <c r="B184" s="159">
        <f>ROW(B179)</f>
        <v>179</v>
      </c>
      <c r="C184" s="10"/>
      <c r="D184" s="10" t="s">
        <v>326</v>
      </c>
      <c r="E184" s="21">
        <f>SUBTOTAL(9,E185:E189)</f>
        <v>121565</v>
      </c>
      <c r="F184" s="21">
        <f>SUBTOTAL(9,F185:F189)</f>
        <v>96200</v>
      </c>
      <c r="G184" s="21"/>
      <c r="H184" s="21"/>
      <c r="I184" s="21"/>
      <c r="J184" s="21"/>
      <c r="K184" s="14"/>
      <c r="M184" s="6"/>
      <c r="N184" s="6"/>
    </row>
    <row r="185" spans="1:14" outlineLevel="3" x14ac:dyDescent="0.25">
      <c r="A185" s="225" t="s">
        <v>348</v>
      </c>
      <c r="B185" s="158">
        <f>ROW(B180)</f>
        <v>180</v>
      </c>
      <c r="C185" s="10" t="s">
        <v>349</v>
      </c>
      <c r="D185" s="13" t="s">
        <v>275</v>
      </c>
      <c r="E185" s="21">
        <f>[1]WiWi!E15</f>
        <v>45600</v>
      </c>
      <c r="F185" s="21">
        <f>[1]WiWi!G15</f>
        <v>31499.999999999996</v>
      </c>
      <c r="G185" s="21"/>
      <c r="H185" s="21"/>
      <c r="I185" s="21"/>
      <c r="J185" s="21"/>
      <c r="K185" s="14"/>
      <c r="N185" s="6"/>
    </row>
    <row r="186" spans="1:14" outlineLevel="3" x14ac:dyDescent="0.25">
      <c r="A186" s="225" t="s">
        <v>350</v>
      </c>
      <c r="B186" s="158">
        <f>ROW(B181)</f>
        <v>181</v>
      </c>
      <c r="C186" s="10" t="s">
        <v>351</v>
      </c>
      <c r="D186" s="13" t="s">
        <v>279</v>
      </c>
      <c r="E186" s="21">
        <f>KSW!E15</f>
        <v>8510</v>
      </c>
      <c r="F186" s="21">
        <f>KSW!G15</f>
        <v>2100</v>
      </c>
      <c r="G186" s="21"/>
      <c r="H186" s="21"/>
      <c r="I186" s="21"/>
      <c r="J186" s="21"/>
      <c r="K186" s="14"/>
      <c r="M186" s="6"/>
      <c r="N186" s="6"/>
    </row>
    <row r="187" spans="1:14" outlineLevel="3" x14ac:dyDescent="0.25">
      <c r="A187" s="225" t="s">
        <v>352</v>
      </c>
      <c r="B187" s="158">
        <f>ROW(B182)</f>
        <v>182</v>
      </c>
      <c r="C187" s="10" t="s">
        <v>353</v>
      </c>
      <c r="D187" s="13" t="s">
        <v>282</v>
      </c>
      <c r="E187" s="21">
        <f>PSY!E15</f>
        <v>24540</v>
      </c>
      <c r="F187" s="21">
        <f>PSY!G15</f>
        <v>22000</v>
      </c>
      <c r="G187" s="21"/>
      <c r="H187" s="21"/>
      <c r="I187" s="21"/>
      <c r="J187" s="21"/>
      <c r="K187" s="14"/>
      <c r="N187" s="6"/>
    </row>
    <row r="188" spans="1:14" outlineLevel="3" x14ac:dyDescent="0.25">
      <c r="A188" s="225" t="s">
        <v>354</v>
      </c>
      <c r="B188" s="158">
        <f t="shared" ref="B188:B251" si="18">ROW(B183)</f>
        <v>183</v>
      </c>
      <c r="C188" s="10" t="s">
        <v>355</v>
      </c>
      <c r="D188" s="13" t="s">
        <v>285</v>
      </c>
      <c r="E188" s="21">
        <f>ReWi!E15</f>
        <v>25715</v>
      </c>
      <c r="F188" s="21">
        <f>ReWi!G15</f>
        <v>29399.999999999996</v>
      </c>
      <c r="G188" s="21"/>
      <c r="H188" s="21"/>
      <c r="I188" s="21"/>
      <c r="J188" s="21"/>
      <c r="K188" s="14"/>
      <c r="M188" s="6"/>
      <c r="N188" s="6"/>
    </row>
    <row r="189" spans="1:14" outlineLevel="3" x14ac:dyDescent="0.25">
      <c r="A189" s="225" t="s">
        <v>356</v>
      </c>
      <c r="B189" s="158">
        <f t="shared" si="18"/>
        <v>184</v>
      </c>
      <c r="C189" s="10" t="s">
        <v>357</v>
      </c>
      <c r="D189" s="13" t="s">
        <v>288</v>
      </c>
      <c r="E189" s="21">
        <f>M_I!E15</f>
        <v>17200</v>
      </c>
      <c r="F189" s="21">
        <f>M_I!G15</f>
        <v>11200</v>
      </c>
      <c r="G189" s="21"/>
      <c r="H189" s="21"/>
      <c r="I189" s="21"/>
      <c r="J189" s="21"/>
      <c r="K189" s="14"/>
      <c r="N189" s="6"/>
    </row>
    <row r="190" spans="1:14" outlineLevel="2" x14ac:dyDescent="0.25">
      <c r="A190" s="224" t="s">
        <v>358</v>
      </c>
      <c r="B190" s="159">
        <f t="shared" si="18"/>
        <v>185</v>
      </c>
      <c r="C190" s="10"/>
      <c r="D190" s="10" t="s">
        <v>329</v>
      </c>
      <c r="E190" s="21">
        <f>SUBTOTAL(9,E191:E195)</f>
        <v>10140</v>
      </c>
      <c r="F190" s="21">
        <f>SUBTOTAL(9,F191:F195)</f>
        <v>15450</v>
      </c>
      <c r="G190" s="21"/>
      <c r="H190" s="21"/>
      <c r="I190" s="21"/>
      <c r="J190" s="21"/>
      <c r="K190" s="14"/>
      <c r="M190" s="6"/>
      <c r="N190" s="6"/>
    </row>
    <row r="191" spans="1:14" outlineLevel="3" x14ac:dyDescent="0.25">
      <c r="A191" s="225" t="s">
        <v>359</v>
      </c>
      <c r="B191" s="158">
        <f t="shared" si="18"/>
        <v>186</v>
      </c>
      <c r="C191" s="10" t="s">
        <v>360</v>
      </c>
      <c r="D191" s="13" t="s">
        <v>275</v>
      </c>
      <c r="E191" s="21">
        <f>[1]WiWi!E16</f>
        <v>2000</v>
      </c>
      <c r="F191" s="21">
        <f>[1]WiWi!G16</f>
        <v>6750</v>
      </c>
      <c r="G191" s="21"/>
      <c r="H191" s="21"/>
      <c r="I191" s="21"/>
      <c r="J191" s="21"/>
      <c r="K191" s="14"/>
      <c r="N191" s="6"/>
    </row>
    <row r="192" spans="1:14" outlineLevel="3" x14ac:dyDescent="0.25">
      <c r="A192" s="225" t="s">
        <v>361</v>
      </c>
      <c r="B192" s="158">
        <f t="shared" si="18"/>
        <v>187</v>
      </c>
      <c r="C192" s="10" t="s">
        <v>362</v>
      </c>
      <c r="D192" s="13" t="s">
        <v>279</v>
      </c>
      <c r="E192" s="21">
        <f>KSW!E16</f>
        <v>2640</v>
      </c>
      <c r="F192" s="21">
        <f>KSW!G16</f>
        <v>600</v>
      </c>
      <c r="G192" s="21"/>
      <c r="H192" s="21"/>
      <c r="I192" s="21"/>
      <c r="J192" s="21"/>
      <c r="K192" s="14"/>
      <c r="M192" s="6"/>
      <c r="N192" s="6"/>
    </row>
    <row r="193" spans="1:14" outlineLevel="3" x14ac:dyDescent="0.25">
      <c r="A193" s="225" t="s">
        <v>363</v>
      </c>
      <c r="B193" s="158">
        <f t="shared" si="18"/>
        <v>188</v>
      </c>
      <c r="C193" s="10" t="s">
        <v>364</v>
      </c>
      <c r="D193" s="13" t="s">
        <v>282</v>
      </c>
      <c r="E193" s="21">
        <f>PSY!E16</f>
        <v>2000</v>
      </c>
      <c r="F193" s="21">
        <f>PSY!G16</f>
        <v>0</v>
      </c>
      <c r="G193" s="21"/>
      <c r="H193" s="21"/>
      <c r="I193" s="21"/>
      <c r="J193" s="21"/>
      <c r="K193" s="14"/>
      <c r="N193" s="6"/>
    </row>
    <row r="194" spans="1:14" outlineLevel="3" x14ac:dyDescent="0.25">
      <c r="A194" s="225" t="s">
        <v>365</v>
      </c>
      <c r="B194" s="158">
        <f t="shared" si="18"/>
        <v>189</v>
      </c>
      <c r="C194" s="10" t="s">
        <v>366</v>
      </c>
      <c r="D194" s="13" t="s">
        <v>285</v>
      </c>
      <c r="E194" s="21">
        <f>ReWi!E16</f>
        <v>2500</v>
      </c>
      <c r="F194" s="21">
        <f>ReWi!G16</f>
        <v>6300</v>
      </c>
      <c r="G194" s="21"/>
      <c r="H194" s="21"/>
      <c r="I194" s="21"/>
      <c r="J194" s="21"/>
      <c r="K194" s="14"/>
      <c r="M194" s="6"/>
      <c r="N194" s="6"/>
    </row>
    <row r="195" spans="1:14" outlineLevel="3" x14ac:dyDescent="0.25">
      <c r="A195" s="225" t="s">
        <v>367</v>
      </c>
      <c r="B195" s="158">
        <f t="shared" si="18"/>
        <v>190</v>
      </c>
      <c r="C195" s="10" t="s">
        <v>368</v>
      </c>
      <c r="D195" s="13" t="s">
        <v>288</v>
      </c>
      <c r="E195" s="21">
        <f>M_I!E16</f>
        <v>1000</v>
      </c>
      <c r="F195" s="21">
        <f>M_I!G16</f>
        <v>1800</v>
      </c>
      <c r="G195" s="21"/>
      <c r="H195" s="21"/>
      <c r="I195" s="21"/>
      <c r="J195" s="21"/>
      <c r="K195" s="14"/>
      <c r="N195" s="6"/>
    </row>
    <row r="196" spans="1:14" outlineLevel="2" x14ac:dyDescent="0.25">
      <c r="A196" s="224" t="s">
        <v>369</v>
      </c>
      <c r="B196" s="159">
        <f t="shared" si="18"/>
        <v>191</v>
      </c>
      <c r="C196" s="10"/>
      <c r="D196" s="10" t="s">
        <v>333</v>
      </c>
      <c r="E196" s="21">
        <f>SUBTOTAL(9,E197:E201)</f>
        <v>2000</v>
      </c>
      <c r="F196" s="21">
        <f>SUBTOTAL(9,F197:F201)</f>
        <v>16350</v>
      </c>
      <c r="G196" s="21"/>
      <c r="H196" s="21"/>
      <c r="I196" s="21"/>
      <c r="J196" s="21"/>
      <c r="K196" s="14"/>
      <c r="M196" s="6"/>
      <c r="N196" s="6"/>
    </row>
    <row r="197" spans="1:14" outlineLevel="3" x14ac:dyDescent="0.25">
      <c r="A197" s="225" t="s">
        <v>370</v>
      </c>
      <c r="B197" s="158">
        <f t="shared" si="18"/>
        <v>192</v>
      </c>
      <c r="C197" s="10" t="s">
        <v>360</v>
      </c>
      <c r="D197" s="13" t="s">
        <v>275</v>
      </c>
      <c r="E197" s="21">
        <f>[1]WiWi!E17</f>
        <v>1100</v>
      </c>
      <c r="F197" s="21">
        <f>[1]WiWi!G17</f>
        <v>6750</v>
      </c>
      <c r="G197" s="21"/>
      <c r="H197" s="21"/>
      <c r="I197" s="21"/>
      <c r="J197" s="21"/>
      <c r="K197" s="14"/>
      <c r="N197" s="6"/>
    </row>
    <row r="198" spans="1:14" outlineLevel="3" x14ac:dyDescent="0.25">
      <c r="A198" s="225" t="s">
        <v>371</v>
      </c>
      <c r="B198" s="158">
        <f t="shared" si="18"/>
        <v>193</v>
      </c>
      <c r="C198" s="10" t="s">
        <v>362</v>
      </c>
      <c r="D198" s="13" t="s">
        <v>279</v>
      </c>
      <c r="E198" s="21">
        <f>KSW!E17</f>
        <v>100</v>
      </c>
      <c r="F198" s="21">
        <f>KSW!G17</f>
        <v>300</v>
      </c>
      <c r="G198" s="21"/>
      <c r="H198" s="21"/>
      <c r="I198" s="21"/>
      <c r="J198" s="21"/>
      <c r="K198" s="14"/>
      <c r="M198" s="6"/>
      <c r="N198" s="6"/>
    </row>
    <row r="199" spans="1:14" outlineLevel="3" x14ac:dyDescent="0.25">
      <c r="A199" s="225" t="s">
        <v>372</v>
      </c>
      <c r="B199" s="158">
        <f t="shared" si="18"/>
        <v>194</v>
      </c>
      <c r="C199" s="10" t="s">
        <v>364</v>
      </c>
      <c r="D199" s="13" t="s">
        <v>282</v>
      </c>
      <c r="E199" s="21">
        <f>PSY!E17</f>
        <v>100</v>
      </c>
      <c r="F199" s="21">
        <f>PSY!G17</f>
        <v>1000</v>
      </c>
      <c r="G199" s="21"/>
      <c r="H199" s="21"/>
      <c r="I199" s="21"/>
      <c r="J199" s="21"/>
      <c r="K199" s="14"/>
      <c r="N199" s="6"/>
    </row>
    <row r="200" spans="1:14" outlineLevel="3" x14ac:dyDescent="0.25">
      <c r="A200" s="225" t="s">
        <v>373</v>
      </c>
      <c r="B200" s="158">
        <f t="shared" si="18"/>
        <v>195</v>
      </c>
      <c r="C200" s="10" t="s">
        <v>366</v>
      </c>
      <c r="D200" s="13" t="s">
        <v>285</v>
      </c>
      <c r="E200" s="21">
        <f>ReWi!E17</f>
        <v>500</v>
      </c>
      <c r="F200" s="21">
        <f>ReWi!G17</f>
        <v>6300</v>
      </c>
      <c r="G200" s="21"/>
      <c r="H200" s="21"/>
      <c r="I200" s="21"/>
      <c r="J200" s="21"/>
      <c r="K200" s="14"/>
      <c r="M200" s="6"/>
      <c r="N200" s="6"/>
    </row>
    <row r="201" spans="1:14" outlineLevel="3" x14ac:dyDescent="0.25">
      <c r="A201" s="225" t="s">
        <v>374</v>
      </c>
      <c r="B201" s="158">
        <f t="shared" si="18"/>
        <v>196</v>
      </c>
      <c r="C201" s="10" t="s">
        <v>368</v>
      </c>
      <c r="D201" s="13" t="s">
        <v>288</v>
      </c>
      <c r="E201" s="21">
        <f>M_I!E17</f>
        <v>200</v>
      </c>
      <c r="F201" s="21">
        <f>M_I!G17</f>
        <v>2000</v>
      </c>
      <c r="G201" s="21"/>
      <c r="H201" s="21"/>
      <c r="I201" s="21"/>
      <c r="J201" s="21"/>
      <c r="K201" s="14"/>
      <c r="N201" s="6"/>
    </row>
    <row r="202" spans="1:14" outlineLevel="2" x14ac:dyDescent="0.25">
      <c r="A202" s="224" t="s">
        <v>375</v>
      </c>
      <c r="B202" s="159">
        <f t="shared" si="18"/>
        <v>197</v>
      </c>
      <c r="C202" s="10"/>
      <c r="D202" s="10" t="s">
        <v>376</v>
      </c>
      <c r="E202" s="21">
        <f>SUBTOTAL(9,E203:E207)</f>
        <v>3040</v>
      </c>
      <c r="F202" s="21">
        <f>SUBTOTAL(9,F203:F207)</f>
        <v>2900</v>
      </c>
      <c r="G202" s="21"/>
      <c r="H202" s="21"/>
      <c r="I202" s="21"/>
      <c r="J202" s="21"/>
      <c r="K202" s="14"/>
      <c r="M202" s="6"/>
      <c r="N202" s="6"/>
    </row>
    <row r="203" spans="1:14" outlineLevel="3" x14ac:dyDescent="0.25">
      <c r="A203" s="225" t="s">
        <v>377</v>
      </c>
      <c r="B203" s="158">
        <f t="shared" si="18"/>
        <v>198</v>
      </c>
      <c r="C203" s="10" t="s">
        <v>1258</v>
      </c>
      <c r="D203" s="13" t="s">
        <v>275</v>
      </c>
      <c r="E203" s="21">
        <f>[1]WiWi!E18</f>
        <v>1500</v>
      </c>
      <c r="F203" s="21">
        <f>[1]WiWi!G18</f>
        <v>2100</v>
      </c>
      <c r="G203" s="21"/>
      <c r="H203" s="21"/>
      <c r="I203" s="21"/>
      <c r="J203" s="21"/>
      <c r="K203" s="14"/>
      <c r="N203" s="6"/>
    </row>
    <row r="204" spans="1:14" outlineLevel="3" x14ac:dyDescent="0.25">
      <c r="A204" s="225" t="s">
        <v>379</v>
      </c>
      <c r="B204" s="158">
        <f t="shared" si="18"/>
        <v>199</v>
      </c>
      <c r="C204" s="10" t="s">
        <v>380</v>
      </c>
      <c r="D204" s="13" t="s">
        <v>279</v>
      </c>
      <c r="E204" s="21">
        <f>KSW!E18</f>
        <v>340</v>
      </c>
      <c r="F204" s="21">
        <f>KSW!G18</f>
        <v>100</v>
      </c>
      <c r="G204" s="21"/>
      <c r="H204" s="21"/>
      <c r="I204" s="21"/>
      <c r="J204" s="21"/>
      <c r="K204" s="14"/>
      <c r="M204" s="6"/>
      <c r="N204" s="6"/>
    </row>
    <row r="205" spans="1:14" outlineLevel="3" x14ac:dyDescent="0.25">
      <c r="A205" s="225" t="s">
        <v>381</v>
      </c>
      <c r="B205" s="158">
        <f t="shared" si="18"/>
        <v>200</v>
      </c>
      <c r="C205" s="10" t="s">
        <v>382</v>
      </c>
      <c r="D205" s="13" t="s">
        <v>282</v>
      </c>
      <c r="E205" s="21">
        <f>PSY!E18</f>
        <v>500</v>
      </c>
      <c r="F205" s="21">
        <f>PSY!G18</f>
        <v>200</v>
      </c>
      <c r="G205" s="21"/>
      <c r="H205" s="21"/>
      <c r="I205" s="21"/>
      <c r="J205" s="21"/>
      <c r="K205" s="14"/>
      <c r="N205" s="6"/>
    </row>
    <row r="206" spans="1:14" outlineLevel="3" x14ac:dyDescent="0.25">
      <c r="A206" s="225" t="s">
        <v>383</v>
      </c>
      <c r="B206" s="158">
        <f t="shared" si="18"/>
        <v>201</v>
      </c>
      <c r="C206" s="10" t="s">
        <v>384</v>
      </c>
      <c r="D206" s="13" t="s">
        <v>285</v>
      </c>
      <c r="E206" s="21">
        <f>ReWi!E18</f>
        <v>450</v>
      </c>
      <c r="F206" s="21">
        <f>ReWi!G18</f>
        <v>300</v>
      </c>
      <c r="G206" s="21"/>
      <c r="H206" s="21"/>
      <c r="I206" s="21"/>
      <c r="J206" s="21"/>
      <c r="K206" s="14"/>
      <c r="M206" s="6"/>
      <c r="N206" s="6"/>
    </row>
    <row r="207" spans="1:14" outlineLevel="3" x14ac:dyDescent="0.25">
      <c r="A207" s="225" t="s">
        <v>385</v>
      </c>
      <c r="B207" s="158">
        <f t="shared" si="18"/>
        <v>202</v>
      </c>
      <c r="C207" s="10" t="s">
        <v>386</v>
      </c>
      <c r="D207" s="13" t="s">
        <v>288</v>
      </c>
      <c r="E207" s="21">
        <f>M_I!E18</f>
        <v>250</v>
      </c>
      <c r="F207" s="21">
        <f>M_I!G18</f>
        <v>200</v>
      </c>
      <c r="G207" s="21"/>
      <c r="H207" s="21"/>
      <c r="I207" s="21"/>
      <c r="J207" s="21"/>
      <c r="K207" s="14"/>
      <c r="N207" s="6"/>
    </row>
    <row r="208" spans="1:14" outlineLevel="2" x14ac:dyDescent="0.25">
      <c r="A208" s="224" t="s">
        <v>387</v>
      </c>
      <c r="B208" s="159">
        <f t="shared" si="18"/>
        <v>203</v>
      </c>
      <c r="C208" s="10"/>
      <c r="D208" s="10" t="s">
        <v>388</v>
      </c>
      <c r="E208" s="21">
        <f>SUBTOTAL(9,E209:E213)</f>
        <v>4300</v>
      </c>
      <c r="F208" s="21">
        <f>SUBTOTAL(9,F209:F213)</f>
        <v>12000</v>
      </c>
      <c r="G208" s="21"/>
      <c r="H208" s="21"/>
      <c r="I208" s="21"/>
      <c r="J208" s="21"/>
      <c r="K208" s="14"/>
      <c r="M208" s="6"/>
      <c r="N208" s="6"/>
    </row>
    <row r="209" spans="1:14" outlineLevel="3" x14ac:dyDescent="0.25">
      <c r="A209" s="225" t="s">
        <v>389</v>
      </c>
      <c r="B209" s="158">
        <f t="shared" si="18"/>
        <v>204</v>
      </c>
      <c r="C209" s="10" t="s">
        <v>390</v>
      </c>
      <c r="D209" s="13" t="s">
        <v>275</v>
      </c>
      <c r="E209" s="21">
        <f>[1]WiWi!E19</f>
        <v>3000</v>
      </c>
      <c r="F209" s="21">
        <f>[1]WiWi!G19</f>
        <v>4000</v>
      </c>
      <c r="G209" s="21"/>
      <c r="H209" s="21"/>
      <c r="I209" s="21"/>
      <c r="J209" s="21"/>
      <c r="K209" s="14"/>
      <c r="N209" s="6"/>
    </row>
    <row r="210" spans="1:14" outlineLevel="3" x14ac:dyDescent="0.25">
      <c r="A210" s="225" t="s">
        <v>391</v>
      </c>
      <c r="B210" s="158">
        <f t="shared" si="18"/>
        <v>205</v>
      </c>
      <c r="C210" s="10" t="s">
        <v>392</v>
      </c>
      <c r="D210" s="13" t="s">
        <v>279</v>
      </c>
      <c r="E210" s="21">
        <f>KSW!E19</f>
        <v>200</v>
      </c>
      <c r="F210" s="21">
        <f>KSW!G19</f>
        <v>500</v>
      </c>
      <c r="G210" s="21"/>
      <c r="H210" s="21"/>
      <c r="I210" s="21"/>
      <c r="J210" s="21"/>
      <c r="K210" s="14"/>
      <c r="M210" s="6"/>
      <c r="N210" s="6"/>
    </row>
    <row r="211" spans="1:14" outlineLevel="3" x14ac:dyDescent="0.25">
      <c r="A211" s="225" t="s">
        <v>393</v>
      </c>
      <c r="B211" s="158">
        <f t="shared" si="18"/>
        <v>206</v>
      </c>
      <c r="C211" s="10" t="s">
        <v>394</v>
      </c>
      <c r="D211" s="13" t="s">
        <v>282</v>
      </c>
      <c r="E211" s="21">
        <f>PSY!E19</f>
        <v>600</v>
      </c>
      <c r="F211" s="21">
        <f>PSY!G19</f>
        <v>2000</v>
      </c>
      <c r="G211" s="21"/>
      <c r="H211" s="21"/>
      <c r="I211" s="21"/>
      <c r="J211" s="21"/>
      <c r="K211" s="14"/>
      <c r="N211" s="6"/>
    </row>
    <row r="212" spans="1:14" outlineLevel="3" x14ac:dyDescent="0.25">
      <c r="A212" s="225" t="s">
        <v>395</v>
      </c>
      <c r="B212" s="158">
        <f t="shared" si="18"/>
        <v>207</v>
      </c>
      <c r="C212" s="10" t="s">
        <v>396</v>
      </c>
      <c r="D212" s="13" t="s">
        <v>285</v>
      </c>
      <c r="E212" s="21">
        <f>ReWi!E19</f>
        <v>400</v>
      </c>
      <c r="F212" s="21">
        <f>ReWi!G19</f>
        <v>4000</v>
      </c>
      <c r="G212" s="21"/>
      <c r="H212" s="21"/>
      <c r="I212" s="21"/>
      <c r="J212" s="21"/>
      <c r="K212" s="14"/>
      <c r="M212" s="6"/>
      <c r="N212" s="6"/>
    </row>
    <row r="213" spans="1:14" outlineLevel="3" x14ac:dyDescent="0.25">
      <c r="A213" s="225" t="s">
        <v>385</v>
      </c>
      <c r="B213" s="158">
        <f t="shared" si="18"/>
        <v>208</v>
      </c>
      <c r="C213" s="10" t="s">
        <v>397</v>
      </c>
      <c r="D213" s="13" t="s">
        <v>288</v>
      </c>
      <c r="E213" s="21">
        <f>M_I!E19</f>
        <v>100</v>
      </c>
      <c r="F213" s="21">
        <f>M_I!G19</f>
        <v>1500</v>
      </c>
      <c r="G213" s="21"/>
      <c r="H213" s="21"/>
      <c r="I213" s="21"/>
      <c r="J213" s="21"/>
      <c r="K213" s="14"/>
      <c r="N213" s="6"/>
    </row>
    <row r="214" spans="1:14" outlineLevel="2" x14ac:dyDescent="0.25">
      <c r="A214" s="224" t="s">
        <v>398</v>
      </c>
      <c r="B214" s="157">
        <f t="shared" si="18"/>
        <v>209</v>
      </c>
      <c r="C214" s="10"/>
      <c r="D214" s="10" t="s">
        <v>342</v>
      </c>
      <c r="E214" s="21">
        <f>SUBTOTAL(9,E215:E219)</f>
        <v>10720</v>
      </c>
      <c r="F214" s="21">
        <f>SUBTOTAL(9,F215:F219)</f>
        <v>0</v>
      </c>
      <c r="G214" s="21"/>
      <c r="H214" s="21"/>
      <c r="I214" s="21"/>
      <c r="J214" s="21"/>
      <c r="K214" s="14"/>
      <c r="M214" s="6"/>
      <c r="N214" s="6"/>
    </row>
    <row r="215" spans="1:14" outlineLevel="3" x14ac:dyDescent="0.25">
      <c r="A215" s="225" t="s">
        <v>399</v>
      </c>
      <c r="B215" s="158">
        <f t="shared" si="18"/>
        <v>210</v>
      </c>
      <c r="C215" s="10" t="s">
        <v>400</v>
      </c>
      <c r="D215" s="13" t="s">
        <v>275</v>
      </c>
      <c r="E215" s="21">
        <f>[1]WiWi!E20</f>
        <v>4000</v>
      </c>
      <c r="F215" s="21">
        <f>[1]WiWi!G20</f>
        <v>0</v>
      </c>
      <c r="G215" s="21"/>
      <c r="H215" s="21"/>
      <c r="I215" s="21"/>
      <c r="J215" s="21"/>
      <c r="K215" s="14"/>
      <c r="N215" s="6"/>
    </row>
    <row r="216" spans="1:14" outlineLevel="3" x14ac:dyDescent="0.25">
      <c r="A216" s="225" t="s">
        <v>401</v>
      </c>
      <c r="B216" s="158">
        <f t="shared" si="18"/>
        <v>211</v>
      </c>
      <c r="C216" s="10" t="s">
        <v>402</v>
      </c>
      <c r="D216" s="13" t="s">
        <v>279</v>
      </c>
      <c r="E216" s="21">
        <f>KSW!E20</f>
        <v>1500</v>
      </c>
      <c r="F216" s="21">
        <f>KSW!G20</f>
        <v>0</v>
      </c>
      <c r="G216" s="21"/>
      <c r="H216" s="21"/>
      <c r="I216" s="21"/>
      <c r="J216" s="21"/>
      <c r="K216" s="14"/>
      <c r="M216" s="6"/>
      <c r="N216" s="6"/>
    </row>
    <row r="217" spans="1:14" outlineLevel="3" x14ac:dyDescent="0.25">
      <c r="A217" s="225" t="s">
        <v>403</v>
      </c>
      <c r="B217" s="158">
        <f t="shared" si="18"/>
        <v>212</v>
      </c>
      <c r="C217" s="10" t="s">
        <v>404</v>
      </c>
      <c r="D217" s="13" t="s">
        <v>282</v>
      </c>
      <c r="E217" s="21">
        <f>PSY!E20</f>
        <v>2620</v>
      </c>
      <c r="F217" s="21">
        <f>PSY!G20</f>
        <v>0</v>
      </c>
      <c r="G217" s="21"/>
      <c r="H217" s="21"/>
      <c r="I217" s="21"/>
      <c r="J217" s="21"/>
      <c r="K217" s="14"/>
      <c r="N217" s="6"/>
    </row>
    <row r="218" spans="1:14" outlineLevel="3" x14ac:dyDescent="0.25">
      <c r="A218" s="225" t="s">
        <v>405</v>
      </c>
      <c r="B218" s="158">
        <f t="shared" si="18"/>
        <v>213</v>
      </c>
      <c r="C218" s="10" t="s">
        <v>406</v>
      </c>
      <c r="D218" s="13" t="s">
        <v>285</v>
      </c>
      <c r="E218" s="21">
        <f>ReWi!E20</f>
        <v>1700</v>
      </c>
      <c r="F218" s="21">
        <f>ReWi!G20</f>
        <v>0</v>
      </c>
      <c r="G218" s="21"/>
      <c r="H218" s="21"/>
      <c r="I218" s="21"/>
      <c r="J218" s="21"/>
      <c r="K218" s="14"/>
      <c r="M218" s="6"/>
      <c r="N218" s="6"/>
    </row>
    <row r="219" spans="1:14" outlineLevel="3" x14ac:dyDescent="0.25">
      <c r="A219" s="225" t="s">
        <v>407</v>
      </c>
      <c r="B219" s="158">
        <f t="shared" si="18"/>
        <v>214</v>
      </c>
      <c r="C219" s="10" t="s">
        <v>408</v>
      </c>
      <c r="D219" s="13" t="s">
        <v>288</v>
      </c>
      <c r="E219" s="21">
        <f>M_I!E20</f>
        <v>900</v>
      </c>
      <c r="F219" s="21">
        <f>M_I!G20</f>
        <v>0</v>
      </c>
      <c r="G219" s="21"/>
      <c r="H219" s="21"/>
      <c r="I219" s="21"/>
      <c r="J219" s="21"/>
      <c r="K219" s="14"/>
      <c r="N219" s="6"/>
    </row>
    <row r="220" spans="1:14" outlineLevel="2" x14ac:dyDescent="0.25">
      <c r="A220" s="224" t="s">
        <v>409</v>
      </c>
      <c r="B220" s="157">
        <f t="shared" si="18"/>
        <v>215</v>
      </c>
      <c r="C220" s="10"/>
      <c r="D220" s="10" t="s">
        <v>410</v>
      </c>
      <c r="E220" s="21">
        <f>SUBTOTAL(9,E221:E225)</f>
        <v>10450</v>
      </c>
      <c r="F220" s="21">
        <f>SUBTOTAL(9,F221:F225)</f>
        <v>10000</v>
      </c>
      <c r="G220" s="21"/>
      <c r="H220" s="21"/>
      <c r="I220" s="21"/>
      <c r="J220" s="21"/>
      <c r="K220" s="14"/>
      <c r="M220" s="6"/>
      <c r="N220" s="6"/>
    </row>
    <row r="221" spans="1:14" outlineLevel="3" x14ac:dyDescent="0.25">
      <c r="A221" s="225" t="s">
        <v>411</v>
      </c>
      <c r="B221" s="158">
        <f t="shared" si="18"/>
        <v>216</v>
      </c>
      <c r="C221" s="10" t="s">
        <v>412</v>
      </c>
      <c r="D221" s="13" t="s">
        <v>275</v>
      </c>
      <c r="E221" s="21">
        <f>[1]WiWi!E21</f>
        <v>3400</v>
      </c>
      <c r="F221" s="21">
        <f>[1]WiWi!G21</f>
        <v>4000</v>
      </c>
      <c r="G221" s="21"/>
      <c r="H221" s="21"/>
      <c r="I221" s="21"/>
      <c r="J221" s="21"/>
      <c r="K221" s="14" t="s">
        <v>413</v>
      </c>
      <c r="N221" s="6"/>
    </row>
    <row r="222" spans="1:14" outlineLevel="3" x14ac:dyDescent="0.25">
      <c r="A222" s="225" t="s">
        <v>414</v>
      </c>
      <c r="B222" s="158">
        <f t="shared" si="18"/>
        <v>217</v>
      </c>
      <c r="C222" s="10" t="s">
        <v>415</v>
      </c>
      <c r="D222" s="13" t="s">
        <v>279</v>
      </c>
      <c r="E222" s="21">
        <f>KSW!E21</f>
        <v>1800</v>
      </c>
      <c r="F222" s="21">
        <f>KSW!G21</f>
        <v>500</v>
      </c>
      <c r="G222" s="21"/>
      <c r="H222" s="21"/>
      <c r="I222" s="21"/>
      <c r="J222" s="21"/>
      <c r="K222" s="14"/>
      <c r="M222" s="6"/>
      <c r="N222" s="6"/>
    </row>
    <row r="223" spans="1:14" outlineLevel="3" x14ac:dyDescent="0.25">
      <c r="A223" s="225" t="s">
        <v>416</v>
      </c>
      <c r="B223" s="158">
        <f t="shared" si="18"/>
        <v>218</v>
      </c>
      <c r="C223" s="10" t="s">
        <v>417</v>
      </c>
      <c r="D223" s="13" t="s">
        <v>282</v>
      </c>
      <c r="E223" s="21">
        <f>PSY!E21</f>
        <v>1000</v>
      </c>
      <c r="F223" s="21">
        <f>PSY!G21</f>
        <v>1000</v>
      </c>
      <c r="G223" s="21"/>
      <c r="H223" s="21"/>
      <c r="I223" s="21"/>
      <c r="J223" s="21"/>
      <c r="K223" s="14"/>
      <c r="N223" s="6"/>
    </row>
    <row r="224" spans="1:14" outlineLevel="3" x14ac:dyDescent="0.25">
      <c r="A224" s="225" t="s">
        <v>418</v>
      </c>
      <c r="B224" s="158">
        <f t="shared" si="18"/>
        <v>219</v>
      </c>
      <c r="C224" s="10" t="s">
        <v>419</v>
      </c>
      <c r="D224" s="13" t="s">
        <v>285</v>
      </c>
      <c r="E224" s="21">
        <f>ReWi!E21</f>
        <v>3000</v>
      </c>
      <c r="F224" s="21">
        <f>ReWi!G21</f>
        <v>3000</v>
      </c>
      <c r="G224" s="21"/>
      <c r="H224" s="21"/>
      <c r="I224" s="21"/>
      <c r="J224" s="21"/>
      <c r="K224" s="14"/>
      <c r="M224" s="6"/>
      <c r="N224" s="6"/>
    </row>
    <row r="225" spans="1:14" outlineLevel="3" x14ac:dyDescent="0.25">
      <c r="A225" s="225" t="s">
        <v>420</v>
      </c>
      <c r="B225" s="158">
        <f t="shared" si="18"/>
        <v>220</v>
      </c>
      <c r="C225" s="10" t="s">
        <v>421</v>
      </c>
      <c r="D225" s="13" t="s">
        <v>288</v>
      </c>
      <c r="E225" s="21">
        <f>M_I!E21</f>
        <v>1250</v>
      </c>
      <c r="F225" s="21">
        <f>M_I!G21</f>
        <v>1500</v>
      </c>
      <c r="G225" s="21"/>
      <c r="H225" s="21"/>
      <c r="I225" s="21"/>
      <c r="J225" s="21"/>
      <c r="K225" s="14"/>
      <c r="N225" s="6"/>
    </row>
    <row r="226" spans="1:14" outlineLevel="2" x14ac:dyDescent="0.25">
      <c r="B226" s="154">
        <f t="shared" si="18"/>
        <v>221</v>
      </c>
      <c r="H226" s="14"/>
      <c r="I226" s="14"/>
      <c r="J226" s="14"/>
      <c r="K226" s="14"/>
      <c r="M226" s="6"/>
      <c r="N226" s="6"/>
    </row>
    <row r="227" spans="1:14" outlineLevel="1" x14ac:dyDescent="0.25">
      <c r="B227" s="154">
        <f>ROW(B222)</f>
        <v>222</v>
      </c>
      <c r="H227" s="14"/>
      <c r="I227" s="14"/>
      <c r="J227" s="14"/>
      <c r="K227" s="14"/>
      <c r="N227" s="6"/>
    </row>
    <row r="228" spans="1:14" outlineLevel="1" x14ac:dyDescent="0.25">
      <c r="A228" s="223" t="s">
        <v>422</v>
      </c>
      <c r="B228" s="156">
        <f>ROW(B222)</f>
        <v>222</v>
      </c>
      <c r="C228" s="9"/>
      <c r="D228" s="9" t="s">
        <v>423</v>
      </c>
      <c r="E228" s="20">
        <f>SUBTOTAL(9,E229:E236)</f>
        <v>88700</v>
      </c>
      <c r="F228" s="20">
        <f>SUBTOTAL(9,F229:F236)</f>
        <v>28050</v>
      </c>
      <c r="G228" s="20"/>
      <c r="H228" s="20"/>
      <c r="I228" s="20"/>
      <c r="J228" s="20"/>
      <c r="K228" s="14"/>
      <c r="M228" s="6"/>
      <c r="N228" s="6"/>
    </row>
    <row r="229" spans="1:14" outlineLevel="2" x14ac:dyDescent="0.25">
      <c r="A229" s="224" t="s">
        <v>424</v>
      </c>
      <c r="B229" s="157">
        <f>ROW(B223)</f>
        <v>223</v>
      </c>
      <c r="C229" s="10" t="s">
        <v>425</v>
      </c>
      <c r="D229" s="13" t="s">
        <v>426</v>
      </c>
      <c r="E229" s="21">
        <f>'Leistungen Dritter'!D16</f>
        <v>5000</v>
      </c>
      <c r="F229" s="21">
        <f>'Leistungen Dritter'!D5</f>
        <v>5000</v>
      </c>
      <c r="G229" s="21"/>
      <c r="H229" s="21"/>
      <c r="I229" s="21"/>
      <c r="J229" s="21"/>
      <c r="K229" s="14"/>
      <c r="N229" s="6"/>
    </row>
    <row r="230" spans="1:14" outlineLevel="2" x14ac:dyDescent="0.25">
      <c r="A230" s="224" t="s">
        <v>427</v>
      </c>
      <c r="B230" s="157">
        <f>ROW(B224)</f>
        <v>224</v>
      </c>
      <c r="C230" s="10" t="s">
        <v>428</v>
      </c>
      <c r="D230" s="10" t="s">
        <v>429</v>
      </c>
      <c r="E230" s="21">
        <v>2500</v>
      </c>
      <c r="F230" s="21">
        <v>500</v>
      </c>
      <c r="G230" s="21"/>
      <c r="H230" s="21"/>
      <c r="I230" s="21"/>
      <c r="J230" s="21"/>
      <c r="K230" s="14"/>
      <c r="M230" s="6"/>
      <c r="N230" s="6"/>
    </row>
    <row r="231" spans="1:14" outlineLevel="2" x14ac:dyDescent="0.25">
      <c r="A231" s="224" t="s">
        <v>430</v>
      </c>
      <c r="B231" s="157">
        <f>ROW(B225)</f>
        <v>225</v>
      </c>
      <c r="C231" s="10" t="s">
        <v>431</v>
      </c>
      <c r="D231" s="13" t="s">
        <v>432</v>
      </c>
      <c r="E231" s="21">
        <f>'Leistungen Dritter'!D34</f>
        <v>18750</v>
      </c>
      <c r="F231" s="21">
        <v>8900</v>
      </c>
      <c r="G231" s="21"/>
      <c r="H231" s="21"/>
      <c r="I231" s="21"/>
      <c r="J231" s="21"/>
      <c r="K231" s="14"/>
      <c r="N231" s="6"/>
    </row>
    <row r="232" spans="1:14" outlineLevel="2" x14ac:dyDescent="0.25">
      <c r="A232" s="224" t="s">
        <v>433</v>
      </c>
      <c r="B232" s="157">
        <f>ROW(B226)</f>
        <v>226</v>
      </c>
      <c r="C232" s="10" t="s">
        <v>44</v>
      </c>
      <c r="D232" s="10" t="s">
        <v>434</v>
      </c>
      <c r="E232" s="21">
        <v>500</v>
      </c>
      <c r="F232" s="21">
        <v>0</v>
      </c>
      <c r="G232" s="21"/>
      <c r="H232" s="21"/>
      <c r="I232" s="21"/>
      <c r="J232" s="21"/>
      <c r="K232" s="14"/>
      <c r="M232" s="6"/>
      <c r="N232" s="6"/>
    </row>
    <row r="233" spans="1:14" outlineLevel="2" x14ac:dyDescent="0.25">
      <c r="A233" s="224" t="s">
        <v>435</v>
      </c>
      <c r="B233" s="157">
        <f t="shared" si="18"/>
        <v>228</v>
      </c>
      <c r="C233" s="10" t="s">
        <v>436</v>
      </c>
      <c r="D233" s="10" t="s">
        <v>437</v>
      </c>
      <c r="E233" s="21">
        <v>25000</v>
      </c>
      <c r="F233" s="21">
        <v>10500</v>
      </c>
      <c r="G233" s="21"/>
      <c r="H233" s="21"/>
      <c r="I233" s="21"/>
      <c r="J233" s="21"/>
      <c r="K233" s="14"/>
      <c r="N233" s="6"/>
    </row>
    <row r="234" spans="1:14" outlineLevel="2" x14ac:dyDescent="0.25">
      <c r="A234" s="224" t="s">
        <v>438</v>
      </c>
      <c r="B234" s="157">
        <f t="shared" si="18"/>
        <v>229</v>
      </c>
      <c r="C234" s="10" t="s">
        <v>44</v>
      </c>
      <c r="D234" s="10" t="s">
        <v>439</v>
      </c>
      <c r="E234" s="21">
        <v>10000</v>
      </c>
      <c r="F234" s="21">
        <v>0</v>
      </c>
      <c r="G234" s="21"/>
      <c r="H234" s="21"/>
      <c r="I234" s="21"/>
      <c r="J234" s="21"/>
      <c r="K234" s="14"/>
      <c r="M234" s="6"/>
      <c r="N234" s="6"/>
    </row>
    <row r="235" spans="1:14" outlineLevel="2" x14ac:dyDescent="0.25">
      <c r="A235" s="224" t="s">
        <v>440</v>
      </c>
      <c r="B235" s="157">
        <f>ROW(B230)</f>
        <v>230</v>
      </c>
      <c r="C235" s="10" t="s">
        <v>441</v>
      </c>
      <c r="D235" s="10" t="s">
        <v>442</v>
      </c>
      <c r="E235" s="21">
        <f>[1]WiWi!E22+KSW!E22+PSY!E22+ReWi!E22+M_I!E22</f>
        <v>2950</v>
      </c>
      <c r="F235" s="21">
        <f>[1]WiWi!G22+KSW!G22+PSY!G22+ReWi!G22+M_I!G22</f>
        <v>3150</v>
      </c>
      <c r="G235" s="21"/>
      <c r="H235" s="21"/>
      <c r="I235" s="21"/>
      <c r="J235" s="21"/>
      <c r="K235" s="14" t="s">
        <v>443</v>
      </c>
      <c r="N235" s="6"/>
    </row>
    <row r="236" spans="1:14" outlineLevel="2" x14ac:dyDescent="0.25">
      <c r="A236" s="224" t="s">
        <v>444</v>
      </c>
      <c r="B236" s="157">
        <f>ROW(B231)</f>
        <v>231</v>
      </c>
      <c r="C236" s="10" t="s">
        <v>44</v>
      </c>
      <c r="D236" s="10" t="s">
        <v>445</v>
      </c>
      <c r="E236" s="21">
        <v>24000</v>
      </c>
      <c r="F236" s="21">
        <v>0</v>
      </c>
      <c r="G236" s="21"/>
      <c r="H236" s="21"/>
      <c r="I236" s="21"/>
      <c r="J236" s="21"/>
      <c r="K236" s="14"/>
      <c r="M236" s="6"/>
      <c r="N236" s="6"/>
    </row>
    <row r="237" spans="1:14" outlineLevel="1" x14ac:dyDescent="0.25">
      <c r="B237" s="154">
        <f>ROW(B231)</f>
        <v>231</v>
      </c>
      <c r="H237" s="14"/>
      <c r="I237" s="14"/>
      <c r="J237" s="14"/>
      <c r="K237" s="14"/>
      <c r="N237" s="6"/>
    </row>
    <row r="238" spans="1:14" outlineLevel="1" x14ac:dyDescent="0.25">
      <c r="A238" s="223" t="s">
        <v>446</v>
      </c>
      <c r="B238" s="156">
        <f>ROW(B232)</f>
        <v>232</v>
      </c>
      <c r="C238" s="9"/>
      <c r="D238" s="9" t="s">
        <v>447</v>
      </c>
      <c r="E238" s="20">
        <f>SUBTOTAL(9,E239:E247)</f>
        <v>142650</v>
      </c>
      <c r="F238" s="20">
        <f>SUBTOTAL(9,F239:F247)</f>
        <v>1700</v>
      </c>
      <c r="G238" s="20">
        <f>SUBTOTAL(9,G239:G247)</f>
        <v>39491.549999999996</v>
      </c>
      <c r="H238" s="20"/>
      <c r="I238" s="20"/>
      <c r="J238" s="20"/>
      <c r="K238" s="14"/>
      <c r="M238" s="6"/>
      <c r="N238" s="6"/>
    </row>
    <row r="239" spans="1:14" outlineLevel="3" x14ac:dyDescent="0.25">
      <c r="A239" s="224" t="s">
        <v>448</v>
      </c>
      <c r="B239" s="157">
        <f>ROW(B233)</f>
        <v>233</v>
      </c>
      <c r="C239" s="10" t="s">
        <v>449</v>
      </c>
      <c r="D239" s="10" t="s">
        <v>450</v>
      </c>
      <c r="E239" s="21">
        <v>5600</v>
      </c>
      <c r="F239" s="21">
        <v>800</v>
      </c>
      <c r="G239" s="21">
        <f>HHJ_2021_2022!R139</f>
        <v>800</v>
      </c>
      <c r="H239" s="21"/>
      <c r="I239" s="21"/>
      <c r="J239" s="21"/>
      <c r="K239" s="14"/>
      <c r="N239" s="6"/>
    </row>
    <row r="240" spans="1:14" outlineLevel="3" x14ac:dyDescent="0.25">
      <c r="A240" s="224" t="s">
        <v>451</v>
      </c>
      <c r="B240" s="157">
        <f>ROW(B234)</f>
        <v>234</v>
      </c>
      <c r="C240" s="10" t="s">
        <v>452</v>
      </c>
      <c r="D240" s="10" t="s">
        <v>453</v>
      </c>
      <c r="E240" s="21">
        <v>3000</v>
      </c>
      <c r="F240" s="21">
        <v>500</v>
      </c>
      <c r="G240" s="21">
        <f>HHJ_2021_2022!R140</f>
        <v>575</v>
      </c>
      <c r="H240" s="21"/>
      <c r="I240" s="21"/>
      <c r="J240" s="21"/>
      <c r="K240" s="14"/>
      <c r="M240" s="6"/>
      <c r="N240" s="6"/>
    </row>
    <row r="241" spans="1:14" outlineLevel="3" x14ac:dyDescent="0.25">
      <c r="A241" s="224" t="s">
        <v>454</v>
      </c>
      <c r="B241" s="157">
        <f>ROW(B235)</f>
        <v>235</v>
      </c>
      <c r="C241" s="10" t="s">
        <v>455</v>
      </c>
      <c r="D241" s="10" t="s">
        <v>456</v>
      </c>
      <c r="E241" s="21">
        <v>2000</v>
      </c>
      <c r="F241" s="21">
        <v>300</v>
      </c>
      <c r="G241" s="21">
        <f>HHJ_2021_2022!R142</f>
        <v>504.35</v>
      </c>
      <c r="H241" s="21"/>
      <c r="I241" s="21"/>
      <c r="J241" s="21"/>
      <c r="K241" s="14"/>
      <c r="N241" s="6"/>
    </row>
    <row r="242" spans="1:14" outlineLevel="3" x14ac:dyDescent="0.25">
      <c r="A242" s="224" t="s">
        <v>457</v>
      </c>
      <c r="B242" s="157">
        <f t="shared" si="18"/>
        <v>237</v>
      </c>
      <c r="C242" s="10" t="s">
        <v>458</v>
      </c>
      <c r="D242" s="10" t="s">
        <v>459</v>
      </c>
      <c r="E242" s="21">
        <v>2000</v>
      </c>
      <c r="F242" s="21">
        <v>100</v>
      </c>
      <c r="G242" s="21">
        <f>HHJ_2021_2022!R143</f>
        <v>8062.25</v>
      </c>
      <c r="H242" s="21"/>
      <c r="I242" s="21"/>
      <c r="J242" s="21"/>
      <c r="K242" s="14"/>
      <c r="M242" s="6"/>
      <c r="N242" s="6"/>
    </row>
    <row r="243" spans="1:14" outlineLevel="3" x14ac:dyDescent="0.25">
      <c r="A243" s="224" t="s">
        <v>460</v>
      </c>
      <c r="B243" s="157">
        <f t="shared" si="18"/>
        <v>238</v>
      </c>
      <c r="C243" s="10" t="s">
        <v>461</v>
      </c>
      <c r="D243" s="10" t="s">
        <v>462</v>
      </c>
      <c r="E243" s="21">
        <v>19900</v>
      </c>
      <c r="F243" s="21">
        <v>0</v>
      </c>
      <c r="G243" s="21">
        <f>HHJ_2021_2022!R144</f>
        <v>312</v>
      </c>
      <c r="H243" s="21"/>
      <c r="I243" s="21"/>
      <c r="J243" s="21"/>
      <c r="K243" s="14"/>
      <c r="N243" s="6"/>
    </row>
    <row r="244" spans="1:14" outlineLevel="3" x14ac:dyDescent="0.25">
      <c r="A244" s="224" t="s">
        <v>463</v>
      </c>
      <c r="B244" s="157">
        <f t="shared" si="18"/>
        <v>239</v>
      </c>
      <c r="C244" s="10" t="s">
        <v>464</v>
      </c>
      <c r="D244" s="10" t="s">
        <v>465</v>
      </c>
      <c r="E244" s="21">
        <v>45000</v>
      </c>
      <c r="F244" s="21">
        <v>0</v>
      </c>
      <c r="G244" s="21">
        <f>HHJ_2021_2022!R146</f>
        <v>0</v>
      </c>
      <c r="H244" s="21"/>
      <c r="I244" s="21"/>
      <c r="J244" s="21"/>
      <c r="K244" s="14"/>
      <c r="M244" s="6"/>
      <c r="N244" s="6"/>
    </row>
    <row r="245" spans="1:14" outlineLevel="3" x14ac:dyDescent="0.25">
      <c r="A245" s="224" t="s">
        <v>466</v>
      </c>
      <c r="B245" s="157">
        <f t="shared" si="18"/>
        <v>240</v>
      </c>
      <c r="C245" s="10" t="s">
        <v>467</v>
      </c>
      <c r="D245" s="10" t="s">
        <v>468</v>
      </c>
      <c r="E245" s="21">
        <v>65000</v>
      </c>
      <c r="F245" s="21">
        <v>0</v>
      </c>
      <c r="G245" s="21">
        <f>HHJ_2021_2022!R147</f>
        <v>0</v>
      </c>
      <c r="H245" s="21"/>
      <c r="I245" s="21"/>
      <c r="J245" s="21"/>
      <c r="K245" s="14"/>
      <c r="N245" s="6"/>
    </row>
    <row r="246" spans="1:14" outlineLevel="3" x14ac:dyDescent="0.25">
      <c r="A246" s="224" t="s">
        <v>469</v>
      </c>
      <c r="B246" s="157">
        <f t="shared" si="18"/>
        <v>241</v>
      </c>
      <c r="C246" s="10" t="s">
        <v>470</v>
      </c>
      <c r="D246" s="10" t="s">
        <v>471</v>
      </c>
      <c r="E246" s="21">
        <v>50</v>
      </c>
      <c r="F246" s="21">
        <v>0</v>
      </c>
      <c r="G246" s="21">
        <f>HHJ_2021_2022!R148</f>
        <v>29218</v>
      </c>
      <c r="H246" s="21"/>
      <c r="I246" s="21"/>
      <c r="J246" s="21"/>
      <c r="K246" s="14"/>
      <c r="M246" s="6"/>
      <c r="N246" s="6"/>
    </row>
    <row r="247" spans="1:14" outlineLevel="3" x14ac:dyDescent="0.25">
      <c r="A247" s="224" t="s">
        <v>472</v>
      </c>
      <c r="B247" s="157">
        <f t="shared" si="18"/>
        <v>242</v>
      </c>
      <c r="C247" s="10" t="s">
        <v>473</v>
      </c>
      <c r="D247" s="10" t="s">
        <v>474</v>
      </c>
      <c r="E247" s="21">
        <v>100</v>
      </c>
      <c r="F247" s="21">
        <v>0</v>
      </c>
      <c r="G247" s="21">
        <f>HHJ_2021_2022!R149</f>
        <v>19.95</v>
      </c>
      <c r="H247" s="21"/>
      <c r="I247" s="21"/>
      <c r="J247" s="21"/>
      <c r="K247" s="14"/>
      <c r="N247" s="6"/>
    </row>
    <row r="248" spans="1:14" outlineLevel="1" x14ac:dyDescent="0.25">
      <c r="B248" s="154">
        <f t="shared" si="18"/>
        <v>243</v>
      </c>
      <c r="H248" s="14"/>
      <c r="I248" s="14"/>
      <c r="J248" s="14"/>
      <c r="K248" s="14"/>
      <c r="M248" s="6"/>
      <c r="N248" s="6"/>
    </row>
    <row r="249" spans="1:14" x14ac:dyDescent="0.25">
      <c r="B249" s="154">
        <f t="shared" si="18"/>
        <v>244</v>
      </c>
      <c r="H249" s="14"/>
      <c r="I249" s="14"/>
      <c r="J249" s="14"/>
      <c r="K249" s="14"/>
      <c r="N249" s="6"/>
    </row>
    <row r="250" spans="1:14" x14ac:dyDescent="0.25">
      <c r="A250" s="161" t="s">
        <v>475</v>
      </c>
      <c r="B250" s="155">
        <f t="shared" si="18"/>
        <v>245</v>
      </c>
      <c r="C250" s="8"/>
      <c r="D250" s="8" t="s">
        <v>476</v>
      </c>
      <c r="E250" s="19">
        <f>SUBTOTAL(9,E252:E267)</f>
        <v>223575</v>
      </c>
      <c r="F250" s="19">
        <f>SUBTOTAL(9,F252:F267)</f>
        <v>222589.02</v>
      </c>
      <c r="G250" s="19"/>
      <c r="H250" s="19"/>
      <c r="I250" s="19"/>
      <c r="J250" s="19"/>
      <c r="K250" s="14"/>
      <c r="M250" s="6"/>
      <c r="N250" s="6"/>
    </row>
    <row r="251" spans="1:14" outlineLevel="1" x14ac:dyDescent="0.25">
      <c r="A251" s="223" t="s">
        <v>477</v>
      </c>
      <c r="B251" s="156">
        <f t="shared" si="18"/>
        <v>246</v>
      </c>
      <c r="C251" s="9"/>
      <c r="D251" s="9" t="s">
        <v>478</v>
      </c>
      <c r="E251" s="20">
        <f>SUBTOTAL(9,E252:E259)</f>
        <v>95200</v>
      </c>
      <c r="F251" s="20">
        <f>SUBTOTAL(9,F252:F259)</f>
        <v>119300</v>
      </c>
      <c r="G251" s="20"/>
      <c r="H251" s="20"/>
      <c r="I251" s="20"/>
      <c r="J251" s="20"/>
      <c r="K251" s="14"/>
      <c r="N251" s="6"/>
    </row>
    <row r="252" spans="1:14" outlineLevel="2" x14ac:dyDescent="0.25">
      <c r="A252" s="224" t="s">
        <v>479</v>
      </c>
      <c r="B252" s="157">
        <f t="shared" ref="B252:B282" si="19">ROW(B247)</f>
        <v>247</v>
      </c>
      <c r="C252" s="10" t="s">
        <v>44</v>
      </c>
      <c r="D252" s="10" t="s">
        <v>480</v>
      </c>
      <c r="E252" s="21">
        <v>3000</v>
      </c>
      <c r="F252" s="21">
        <v>0</v>
      </c>
      <c r="G252" s="21"/>
      <c r="H252" s="21"/>
      <c r="I252" s="21"/>
      <c r="J252" s="21"/>
      <c r="K252" s="14"/>
      <c r="M252" s="6"/>
      <c r="N252" s="6"/>
    </row>
    <row r="253" spans="1:14" outlineLevel="2" x14ac:dyDescent="0.25">
      <c r="A253" s="224" t="s">
        <v>481</v>
      </c>
      <c r="B253" s="157">
        <f t="shared" si="19"/>
        <v>248</v>
      </c>
      <c r="C253" s="10" t="s">
        <v>44</v>
      </c>
      <c r="D253" s="10" t="s">
        <v>482</v>
      </c>
      <c r="E253" s="21">
        <v>8000</v>
      </c>
      <c r="F253" s="21">
        <v>0</v>
      </c>
      <c r="G253" s="21"/>
      <c r="H253" s="21"/>
      <c r="I253" s="21"/>
      <c r="J253" s="21"/>
      <c r="K253" s="14"/>
      <c r="N253" s="6"/>
    </row>
    <row r="254" spans="1:14" outlineLevel="2" x14ac:dyDescent="0.25">
      <c r="A254" s="224" t="s">
        <v>483</v>
      </c>
      <c r="B254" s="157">
        <f t="shared" si="19"/>
        <v>249</v>
      </c>
      <c r="C254" s="10" t="s">
        <v>484</v>
      </c>
      <c r="D254" s="13" t="s">
        <v>485</v>
      </c>
      <c r="E254" s="21">
        <f>Lerngruppen_ges.</f>
        <v>0</v>
      </c>
      <c r="F254" s="21">
        <v>60000</v>
      </c>
      <c r="G254" s="21"/>
      <c r="H254" s="21"/>
      <c r="I254" s="21"/>
      <c r="J254" s="21"/>
      <c r="K254" s="14"/>
      <c r="M254" s="6"/>
      <c r="N254" s="6"/>
    </row>
    <row r="255" spans="1:14" outlineLevel="2" x14ac:dyDescent="0.25">
      <c r="A255" s="224" t="s">
        <v>486</v>
      </c>
      <c r="B255" s="157">
        <f t="shared" si="19"/>
        <v>250</v>
      </c>
      <c r="C255" s="10" t="s">
        <v>487</v>
      </c>
      <c r="D255" s="13" t="s">
        <v>488</v>
      </c>
      <c r="E255" s="21">
        <f>Zuschüsse_Campus</f>
        <v>76000</v>
      </c>
      <c r="F255" s="21">
        <v>50000</v>
      </c>
      <c r="G255" s="21"/>
      <c r="H255" s="21"/>
      <c r="I255" s="21"/>
      <c r="J255" s="21"/>
      <c r="K255" s="14"/>
      <c r="N255" s="6"/>
    </row>
    <row r="256" spans="1:14" outlineLevel="2" x14ac:dyDescent="0.25">
      <c r="A256" s="224" t="s">
        <v>489</v>
      </c>
      <c r="B256" s="157">
        <f t="shared" si="19"/>
        <v>251</v>
      </c>
      <c r="C256" s="10" t="s">
        <v>490</v>
      </c>
      <c r="D256" s="13" t="s">
        <v>491</v>
      </c>
      <c r="E256" s="21">
        <f>Campus_Bew.</f>
        <v>7000</v>
      </c>
      <c r="F256" s="21">
        <v>8000</v>
      </c>
      <c r="G256" s="21"/>
      <c r="H256" s="21"/>
      <c r="I256" s="21"/>
      <c r="J256" s="21"/>
      <c r="K256" s="14"/>
      <c r="M256" s="6"/>
      <c r="N256" s="6"/>
    </row>
    <row r="257" spans="1:14" outlineLevel="2" x14ac:dyDescent="0.25">
      <c r="A257" s="224" t="s">
        <v>492</v>
      </c>
      <c r="B257" s="157">
        <f t="shared" si="19"/>
        <v>252</v>
      </c>
      <c r="C257" s="10" t="s">
        <v>493</v>
      </c>
      <c r="D257" s="10" t="s">
        <v>494</v>
      </c>
      <c r="E257" s="21">
        <v>500</v>
      </c>
      <c r="F257" s="21">
        <v>200</v>
      </c>
      <c r="G257" s="21"/>
      <c r="H257" s="21"/>
      <c r="I257" s="21"/>
      <c r="J257" s="21"/>
      <c r="K257" s="14"/>
      <c r="N257" s="6"/>
    </row>
    <row r="258" spans="1:14" outlineLevel="2" x14ac:dyDescent="0.25">
      <c r="A258" s="224" t="s">
        <v>495</v>
      </c>
      <c r="B258" s="157">
        <f t="shared" si="19"/>
        <v>253</v>
      </c>
      <c r="C258" s="10" t="s">
        <v>496</v>
      </c>
      <c r="D258" s="10" t="s">
        <v>497</v>
      </c>
      <c r="E258" s="21">
        <v>200</v>
      </c>
      <c r="F258" s="21">
        <v>200</v>
      </c>
      <c r="G258" s="21"/>
      <c r="H258" s="21"/>
      <c r="I258" s="21"/>
      <c r="J258" s="21"/>
      <c r="K258" s="14"/>
      <c r="M258" s="6"/>
      <c r="N258" s="6"/>
    </row>
    <row r="259" spans="1:14" outlineLevel="2" x14ac:dyDescent="0.25">
      <c r="A259" s="224" t="s">
        <v>498</v>
      </c>
      <c r="B259" s="157">
        <f t="shared" si="19"/>
        <v>254</v>
      </c>
      <c r="C259" s="10" t="s">
        <v>1259</v>
      </c>
      <c r="D259" s="10" t="s">
        <v>34</v>
      </c>
      <c r="E259" s="21">
        <v>500</v>
      </c>
      <c r="F259" s="21">
        <v>900</v>
      </c>
      <c r="G259" s="21"/>
      <c r="H259" s="21"/>
      <c r="I259" s="21"/>
      <c r="J259" s="21"/>
      <c r="K259" s="14"/>
      <c r="N259" s="6"/>
    </row>
    <row r="260" spans="1:14" outlineLevel="1" x14ac:dyDescent="0.25">
      <c r="B260" s="154">
        <f t="shared" si="19"/>
        <v>255</v>
      </c>
      <c r="H260" s="14"/>
      <c r="I260" s="14"/>
      <c r="J260" s="14"/>
      <c r="K260" s="14"/>
      <c r="M260" s="6"/>
      <c r="N260" s="6"/>
    </row>
    <row r="261" spans="1:14" outlineLevel="1" x14ac:dyDescent="0.25">
      <c r="A261" s="223" t="s">
        <v>500</v>
      </c>
      <c r="B261" s="156">
        <f t="shared" si="19"/>
        <v>256</v>
      </c>
      <c r="C261" s="9"/>
      <c r="D261" s="9" t="s">
        <v>501</v>
      </c>
      <c r="E261" s="20">
        <f>SUBTOTAL(9,E262:E263)</f>
        <v>3375</v>
      </c>
      <c r="F261" s="20">
        <f>SUBTOTAL(9,F262:F263)</f>
        <v>3289.02</v>
      </c>
      <c r="G261" s="20"/>
      <c r="H261" s="20"/>
      <c r="I261" s="20"/>
      <c r="J261" s="20"/>
      <c r="K261" s="14"/>
      <c r="N261" s="6"/>
    </row>
    <row r="262" spans="1:14" outlineLevel="2" x14ac:dyDescent="0.25">
      <c r="A262" s="224" t="s">
        <v>502</v>
      </c>
      <c r="B262" s="157">
        <f t="shared" si="19"/>
        <v>257</v>
      </c>
      <c r="C262" s="10" t="s">
        <v>503</v>
      </c>
      <c r="D262" s="10" t="s">
        <v>504</v>
      </c>
      <c r="E262" s="21">
        <v>3300</v>
      </c>
      <c r="F262" s="21">
        <v>3264.02</v>
      </c>
      <c r="G262" s="21"/>
      <c r="H262" s="21"/>
      <c r="I262" s="21"/>
      <c r="J262" s="21"/>
      <c r="K262" s="14"/>
      <c r="M262" s="6"/>
      <c r="N262" s="6"/>
    </row>
    <row r="263" spans="1:14" outlineLevel="2" x14ac:dyDescent="0.25">
      <c r="A263" s="224" t="s">
        <v>505</v>
      </c>
      <c r="B263" s="157">
        <f t="shared" si="19"/>
        <v>258</v>
      </c>
      <c r="C263" s="10" t="s">
        <v>506</v>
      </c>
      <c r="D263" s="10" t="s">
        <v>507</v>
      </c>
      <c r="E263" s="21">
        <v>75</v>
      </c>
      <c r="F263" s="21">
        <v>25</v>
      </c>
      <c r="G263" s="21"/>
      <c r="H263" s="21"/>
      <c r="I263" s="21"/>
      <c r="J263" s="21"/>
      <c r="K263" s="14"/>
      <c r="N263" s="6"/>
    </row>
    <row r="264" spans="1:14" outlineLevel="1" x14ac:dyDescent="0.25">
      <c r="B264" s="154">
        <f t="shared" si="19"/>
        <v>259</v>
      </c>
      <c r="H264" s="14"/>
      <c r="I264" s="14"/>
      <c r="J264" s="14"/>
      <c r="K264" s="14"/>
      <c r="M264" s="6"/>
      <c r="N264" s="6"/>
    </row>
    <row r="265" spans="1:14" outlineLevel="1" x14ac:dyDescent="0.25">
      <c r="A265" s="223" t="s">
        <v>508</v>
      </c>
      <c r="B265" s="156">
        <f t="shared" si="19"/>
        <v>260</v>
      </c>
      <c r="C265" s="9"/>
      <c r="D265" s="9" t="s">
        <v>509</v>
      </c>
      <c r="E265" s="20">
        <f>SUBTOTAL(9,E266:E267)</f>
        <v>125000</v>
      </c>
      <c r="F265" s="20">
        <f>SUBTOTAL(9,F266:F267)</f>
        <v>100000</v>
      </c>
      <c r="G265" s="20"/>
      <c r="H265" s="20"/>
      <c r="I265" s="20"/>
      <c r="J265" s="20"/>
      <c r="K265" s="14"/>
      <c r="N265" s="6"/>
    </row>
    <row r="266" spans="1:14" outlineLevel="1" x14ac:dyDescent="0.25">
      <c r="A266" s="224" t="s">
        <v>502</v>
      </c>
      <c r="B266" s="157">
        <f t="shared" si="19"/>
        <v>261</v>
      </c>
      <c r="C266" s="10" t="s">
        <v>1288</v>
      </c>
      <c r="D266" s="10" t="s">
        <v>510</v>
      </c>
      <c r="E266" s="21">
        <v>46492.17</v>
      </c>
      <c r="F266" s="21">
        <v>68430.649999999994</v>
      </c>
      <c r="G266" s="21"/>
      <c r="H266" s="21"/>
      <c r="I266" s="21"/>
      <c r="J266" s="21"/>
      <c r="K266" s="14"/>
      <c r="M266" s="6"/>
      <c r="N266" s="6"/>
    </row>
    <row r="267" spans="1:14" outlineLevel="1" x14ac:dyDescent="0.25">
      <c r="A267" s="224" t="s">
        <v>505</v>
      </c>
      <c r="B267" s="157">
        <f t="shared" si="19"/>
        <v>262</v>
      </c>
      <c r="C267" s="10" t="s">
        <v>1289</v>
      </c>
      <c r="D267" s="13" t="s">
        <v>511</v>
      </c>
      <c r="E267" s="21">
        <f>Tabelle211123957[[#Totals],[Betrag]]</f>
        <v>78507.83</v>
      </c>
      <c r="F267" s="21">
        <v>31569.35</v>
      </c>
      <c r="G267" s="21"/>
      <c r="H267" s="21"/>
      <c r="I267" s="21"/>
      <c r="J267" s="21"/>
      <c r="K267" s="14"/>
      <c r="N267" s="6"/>
    </row>
    <row r="268" spans="1:14" x14ac:dyDescent="0.25">
      <c r="B268" s="154">
        <f t="shared" si="19"/>
        <v>263</v>
      </c>
      <c r="H268" s="14"/>
      <c r="I268" s="14"/>
      <c r="J268" s="14"/>
      <c r="K268" s="14"/>
      <c r="M268" s="6"/>
      <c r="N268" s="6"/>
    </row>
    <row r="269" spans="1:14" x14ac:dyDescent="0.25">
      <c r="A269" s="161" t="s">
        <v>512</v>
      </c>
      <c r="B269" s="155">
        <f t="shared" si="19"/>
        <v>264</v>
      </c>
      <c r="C269" s="8"/>
      <c r="D269" s="8" t="s">
        <v>513</v>
      </c>
      <c r="E269" s="19">
        <f>SUBTOTAL(9,E271:E272)</f>
        <v>16500</v>
      </c>
      <c r="F269" s="19">
        <f>SUBTOTAL(9,F271:F272)</f>
        <v>11500</v>
      </c>
      <c r="G269" s="19"/>
      <c r="H269" s="19"/>
      <c r="I269" s="19"/>
      <c r="J269" s="19"/>
      <c r="K269" s="14"/>
      <c r="N269" s="6"/>
    </row>
    <row r="270" spans="1:14" outlineLevel="1" x14ac:dyDescent="0.25">
      <c r="A270" s="223" t="s">
        <v>514</v>
      </c>
      <c r="B270" s="156">
        <f t="shared" si="19"/>
        <v>265</v>
      </c>
      <c r="C270" s="9"/>
      <c r="D270" s="9" t="s">
        <v>515</v>
      </c>
      <c r="E270" s="20">
        <f>SUBTOTAL(9,E271:E273)</f>
        <v>16500</v>
      </c>
      <c r="F270" s="20">
        <f>SUBTOTAL(9,F271:F273)</f>
        <v>11500</v>
      </c>
      <c r="G270" s="20"/>
      <c r="H270" s="20"/>
      <c r="I270" s="20"/>
      <c r="J270" s="20"/>
      <c r="K270" s="14"/>
      <c r="M270" s="6"/>
      <c r="N270" s="6"/>
    </row>
    <row r="271" spans="1:14" outlineLevel="2" x14ac:dyDescent="0.25">
      <c r="A271" s="224" t="s">
        <v>516</v>
      </c>
      <c r="B271" s="157">
        <f t="shared" si="19"/>
        <v>266</v>
      </c>
      <c r="C271" s="10" t="s">
        <v>514</v>
      </c>
      <c r="D271" s="10" t="s">
        <v>517</v>
      </c>
      <c r="E271" s="21">
        <v>15000</v>
      </c>
      <c r="F271" s="21">
        <v>10000</v>
      </c>
      <c r="G271" s="21"/>
      <c r="H271" s="21"/>
      <c r="I271" s="21"/>
      <c r="J271" s="21"/>
      <c r="K271" s="14"/>
      <c r="N271" s="6"/>
    </row>
    <row r="272" spans="1:14" outlineLevel="2" x14ac:dyDescent="0.25">
      <c r="A272" s="224" t="s">
        <v>518</v>
      </c>
      <c r="B272" s="157">
        <f t="shared" si="19"/>
        <v>267</v>
      </c>
      <c r="C272" s="10" t="s">
        <v>519</v>
      </c>
      <c r="D272" s="10" t="s">
        <v>520</v>
      </c>
      <c r="E272" s="21">
        <v>1500</v>
      </c>
      <c r="F272" s="21">
        <v>1500</v>
      </c>
      <c r="G272" s="21"/>
      <c r="H272" s="21"/>
      <c r="I272" s="21"/>
      <c r="J272" s="21"/>
      <c r="K272" s="14"/>
      <c r="M272" s="6"/>
      <c r="N272" s="6"/>
    </row>
    <row r="273" spans="1:14" x14ac:dyDescent="0.25">
      <c r="B273" s="154">
        <f t="shared" si="19"/>
        <v>268</v>
      </c>
      <c r="H273" s="14"/>
      <c r="I273" s="14"/>
      <c r="J273" s="14"/>
      <c r="K273" s="14"/>
      <c r="N273" s="6"/>
    </row>
    <row r="274" spans="1:14" x14ac:dyDescent="0.25">
      <c r="A274" s="161" t="s">
        <v>521</v>
      </c>
      <c r="B274" s="155">
        <f t="shared" si="19"/>
        <v>269</v>
      </c>
      <c r="C274" s="8"/>
      <c r="D274" s="8" t="s">
        <v>522</v>
      </c>
      <c r="E274" s="19">
        <f>SUBTOTAL(9,E276:E278)</f>
        <v>0</v>
      </c>
      <c r="F274" s="19">
        <f>SUBTOTAL(9,F276:F278)</f>
        <v>60000</v>
      </c>
      <c r="G274" s="19"/>
      <c r="H274" s="19"/>
      <c r="I274" s="19"/>
      <c r="J274" s="19"/>
      <c r="K274" s="14"/>
      <c r="M274" s="6"/>
      <c r="N274" s="6"/>
    </row>
    <row r="275" spans="1:14" outlineLevel="1" x14ac:dyDescent="0.25">
      <c r="A275" s="223" t="s">
        <v>523</v>
      </c>
      <c r="B275" s="156">
        <f t="shared" si="19"/>
        <v>270</v>
      </c>
      <c r="C275" s="9"/>
      <c r="D275" s="9" t="s">
        <v>524</v>
      </c>
      <c r="E275" s="20">
        <f>SUBTOTAL(9,E276,E277,E278)</f>
        <v>0</v>
      </c>
      <c r="F275" s="20">
        <f>SUBTOTAL(9,F276,F277,F278)</f>
        <v>60000</v>
      </c>
      <c r="G275" s="20"/>
      <c r="H275" s="20"/>
      <c r="I275" s="20"/>
      <c r="J275" s="20"/>
      <c r="K275" s="14"/>
      <c r="N275" s="6"/>
    </row>
    <row r="276" spans="1:14" outlineLevel="1" x14ac:dyDescent="0.25">
      <c r="A276" s="224" t="s">
        <v>525</v>
      </c>
      <c r="B276" s="157">
        <f t="shared" si="19"/>
        <v>271</v>
      </c>
      <c r="C276" s="10" t="s">
        <v>526</v>
      </c>
      <c r="D276" s="10" t="s">
        <v>103</v>
      </c>
      <c r="E276" s="21">
        <v>0</v>
      </c>
      <c r="F276" s="21">
        <v>0</v>
      </c>
      <c r="G276" s="21"/>
      <c r="H276" s="21"/>
      <c r="I276" s="21"/>
      <c r="J276" s="21"/>
      <c r="K276" s="14"/>
      <c r="M276" s="6"/>
      <c r="N276" s="6"/>
    </row>
    <row r="277" spans="1:14" outlineLevel="1" x14ac:dyDescent="0.25">
      <c r="A277" s="224" t="s">
        <v>527</v>
      </c>
      <c r="B277" s="157">
        <f t="shared" si="19"/>
        <v>272</v>
      </c>
      <c r="C277" s="10" t="s">
        <v>528</v>
      </c>
      <c r="D277" s="10" t="s">
        <v>108</v>
      </c>
      <c r="E277" s="21">
        <v>0</v>
      </c>
      <c r="F277" s="21">
        <v>60000</v>
      </c>
      <c r="G277" s="21"/>
      <c r="H277" s="21"/>
      <c r="I277" s="21"/>
      <c r="J277" s="21"/>
      <c r="K277" s="14"/>
      <c r="N277" s="6"/>
    </row>
    <row r="278" spans="1:14" outlineLevel="1" x14ac:dyDescent="0.25">
      <c r="A278" s="224" t="s">
        <v>529</v>
      </c>
      <c r="B278" s="157">
        <f t="shared" si="19"/>
        <v>273</v>
      </c>
      <c r="C278" s="10" t="s">
        <v>530</v>
      </c>
      <c r="D278" s="10" t="s">
        <v>531</v>
      </c>
      <c r="E278" s="21">
        <v>0</v>
      </c>
      <c r="F278" s="21">
        <v>0</v>
      </c>
      <c r="G278" s="21"/>
      <c r="H278" s="21"/>
      <c r="I278" s="21"/>
      <c r="J278" s="21"/>
      <c r="K278" s="14"/>
      <c r="M278" s="6"/>
      <c r="N278" s="6"/>
    </row>
    <row r="279" spans="1:14" x14ac:dyDescent="0.25">
      <c r="B279" s="154">
        <f t="shared" si="19"/>
        <v>274</v>
      </c>
      <c r="H279" s="14"/>
      <c r="I279" s="14"/>
      <c r="J279" s="14"/>
      <c r="K279" s="14"/>
      <c r="N279" s="6"/>
    </row>
    <row r="280" spans="1:14" ht="16.5" customHeight="1" x14ac:dyDescent="0.25">
      <c r="B280" s="154">
        <f t="shared" si="19"/>
        <v>275</v>
      </c>
      <c r="D280" s="161" t="s">
        <v>532</v>
      </c>
      <c r="E280" s="166">
        <f>SUM(E78,E116,E250,E269,E274)</f>
        <v>1358425</v>
      </c>
      <c r="F280" s="166">
        <f>SUM(F78,F116,F250,F269,F274)</f>
        <v>1479844.02</v>
      </c>
      <c r="G280" s="167">
        <v>1479844.02</v>
      </c>
      <c r="H280" s="167"/>
      <c r="I280" s="167"/>
      <c r="J280" s="167"/>
      <c r="K280" s="14"/>
      <c r="M280" s="6"/>
      <c r="N280" s="6"/>
    </row>
    <row r="281" spans="1:14" ht="14.25" customHeight="1" x14ac:dyDescent="0.25">
      <c r="B281" s="154">
        <f t="shared" si="19"/>
        <v>276</v>
      </c>
      <c r="D281" s="162" t="s">
        <v>121</v>
      </c>
      <c r="E281" s="164">
        <f>SUBTOTAL(9,E6,E36,E60)</f>
        <v>1568977.28</v>
      </c>
      <c r="F281" s="164">
        <f>SUBTOTAL(9,F6,F36,F60)</f>
        <v>1480000</v>
      </c>
      <c r="G281" s="165">
        <v>1480000</v>
      </c>
      <c r="H281" s="165"/>
      <c r="I281" s="165"/>
      <c r="J281" s="165"/>
      <c r="K281" s="14"/>
      <c r="N281" s="6"/>
    </row>
    <row r="282" spans="1:14" ht="15.75" x14ac:dyDescent="0.25">
      <c r="B282" s="154">
        <f t="shared" si="19"/>
        <v>277</v>
      </c>
      <c r="D282" s="163" t="s">
        <v>533</v>
      </c>
      <c r="E282" s="168">
        <f>E281-E280</f>
        <v>210552.28000000003</v>
      </c>
      <c r="F282" s="168">
        <f>F281-F280</f>
        <v>155.97999999998137</v>
      </c>
      <c r="G282" s="169"/>
      <c r="H282" s="169"/>
      <c r="I282" s="169"/>
      <c r="J282" s="169"/>
      <c r="K282" s="14"/>
      <c r="M282" s="6"/>
      <c r="N282" s="6"/>
    </row>
    <row r="284" spans="1:14" x14ac:dyDescent="0.25">
      <c r="F284" s="14">
        <v>1479844.02</v>
      </c>
    </row>
    <row r="285" spans="1:14" x14ac:dyDescent="0.25">
      <c r="F285" s="272">
        <f>F280-F284</f>
        <v>0</v>
      </c>
    </row>
    <row r="287" spans="1:14" x14ac:dyDescent="0.25">
      <c r="D287" s="306"/>
    </row>
    <row r="288" spans="1:14" x14ac:dyDescent="0.25">
      <c r="D288" s="306" t="s">
        <v>534</v>
      </c>
      <c r="F288" s="16" t="s">
        <v>535</v>
      </c>
      <c r="G288" s="16" t="s">
        <v>536</v>
      </c>
    </row>
    <row r="289" spans="4:8" x14ac:dyDescent="0.25">
      <c r="D289" s="307" t="s">
        <v>537</v>
      </c>
      <c r="F289" s="14">
        <v>180155.98</v>
      </c>
      <c r="G289" s="14">
        <v>652462.61</v>
      </c>
    </row>
    <row r="290" spans="4:8" x14ac:dyDescent="0.25">
      <c r="D290" s="307" t="s">
        <v>538</v>
      </c>
      <c r="F290" s="14">
        <v>0</v>
      </c>
      <c r="G290" s="14">
        <v>0</v>
      </c>
    </row>
    <row r="291" spans="4:8" x14ac:dyDescent="0.25">
      <c r="D291" s="307" t="s">
        <v>539</v>
      </c>
      <c r="F291" s="14">
        <v>0</v>
      </c>
      <c r="G291" s="14">
        <v>25000</v>
      </c>
      <c r="H291" t="s">
        <v>540</v>
      </c>
    </row>
    <row r="292" spans="4:8" x14ac:dyDescent="0.25">
      <c r="D292" s="306"/>
    </row>
    <row r="293" spans="4:8" x14ac:dyDescent="0.25">
      <c r="D293" s="306" t="s">
        <v>541</v>
      </c>
      <c r="F293" s="14">
        <f>SUM(F289:F292)</f>
        <v>180155.98</v>
      </c>
    </row>
    <row r="294" spans="4:8" x14ac:dyDescent="0.25">
      <c r="D294" s="306"/>
    </row>
    <row r="295" spans="4:8" x14ac:dyDescent="0.25">
      <c r="D295" s="306" t="s">
        <v>542</v>
      </c>
    </row>
    <row r="296" spans="4:8" x14ac:dyDescent="0.25">
      <c r="D296" s="306"/>
    </row>
    <row r="297" spans="4:8" x14ac:dyDescent="0.25">
      <c r="D297" s="308" t="s">
        <v>543</v>
      </c>
      <c r="E297" s="14">
        <v>80000</v>
      </c>
      <c r="F297" s="14">
        <v>155.97999999999999</v>
      </c>
    </row>
    <row r="298" spans="4:8" x14ac:dyDescent="0.25">
      <c r="D298" s="307" t="s">
        <v>522</v>
      </c>
      <c r="E298" s="14">
        <v>115000</v>
      </c>
      <c r="F298" s="14">
        <v>115000</v>
      </c>
    </row>
    <row r="299" spans="4:8" x14ac:dyDescent="0.25">
      <c r="D299" s="307" t="s">
        <v>544</v>
      </c>
      <c r="E299" s="14">
        <v>5000</v>
      </c>
      <c r="F299" s="14">
        <v>5000</v>
      </c>
    </row>
    <row r="300" spans="4:8" x14ac:dyDescent="0.25">
      <c r="D300" s="307" t="s">
        <v>545</v>
      </c>
      <c r="E300" s="14">
        <v>0</v>
      </c>
      <c r="F300" s="14">
        <v>0</v>
      </c>
    </row>
    <row r="301" spans="4:8" x14ac:dyDescent="0.25">
      <c r="D301" s="307" t="s">
        <v>546</v>
      </c>
      <c r="F301" s="14">
        <v>60000</v>
      </c>
    </row>
    <row r="302" spans="4:8" x14ac:dyDescent="0.25">
      <c r="D302" s="306" t="s">
        <v>547</v>
      </c>
      <c r="F302" s="14">
        <f>SUM(F297:F301)</f>
        <v>180155.97999999998</v>
      </c>
    </row>
    <row r="303" spans="4:8" x14ac:dyDescent="0.25">
      <c r="D303" s="307"/>
    </row>
    <row r="304" spans="4:8" x14ac:dyDescent="0.25">
      <c r="D304" s="306" t="s">
        <v>548</v>
      </c>
    </row>
    <row r="305" spans="4:6" x14ac:dyDescent="0.25">
      <c r="D305" s="306"/>
    </row>
    <row r="306" spans="4:6" x14ac:dyDescent="0.25">
      <c r="D306" s="307" t="s">
        <v>534</v>
      </c>
      <c r="F306" s="14">
        <v>180155.98</v>
      </c>
    </row>
    <row r="307" spans="4:6" ht="30" x14ac:dyDescent="0.25">
      <c r="D307" s="309" t="s">
        <v>549</v>
      </c>
      <c r="F307" s="14">
        <f>1120000*0.05</f>
        <v>56000</v>
      </c>
    </row>
    <row r="308" spans="4:6" x14ac:dyDescent="0.25">
      <c r="D308" s="307" t="s">
        <v>550</v>
      </c>
      <c r="F308" s="14">
        <f>F306-F307</f>
        <v>124155.98000000001</v>
      </c>
    </row>
    <row r="309" spans="4:6" ht="45" x14ac:dyDescent="0.25">
      <c r="D309" s="310" t="s">
        <v>551</v>
      </c>
      <c r="F309" s="14">
        <f>1120000*0.18</f>
        <v>201600</v>
      </c>
    </row>
    <row r="310" spans="4:6" x14ac:dyDescent="0.25">
      <c r="D310" s="307" t="s">
        <v>552</v>
      </c>
      <c r="F310" s="14">
        <f>F308-F309</f>
        <v>-77444.01999999999</v>
      </c>
    </row>
    <row r="311" spans="4:6" x14ac:dyDescent="0.25">
      <c r="D311" s="311"/>
    </row>
  </sheetData>
  <hyperlinks>
    <hyperlink ref="D175" location="Referatspläne!B2" display="Honorare Dozierende Fachseminare"/>
    <hyperlink ref="D178" location="Referatspläne!G2" display="Bewirtung und Repräsentation"/>
    <hyperlink ref="D177" location="Referatspläne!E2" display="Externe Reisekosten"/>
    <hyperlink ref="D179" location="Referatspläne!I2" display="Raum und Unterkunftskosten"/>
    <hyperlink ref="D103" location="Stellenplan!D22" display="Gehälter Beschäftigte"/>
    <hyperlink ref="D104" location="Stellenplan!D23" display="Steuern"/>
    <hyperlink ref="D105" location="Stellenplan!D24" display="AG-Anteil Sozialversicherung"/>
    <hyperlink ref="D106" location="Stellenplan!D25" display="Betriebsrenten"/>
    <hyperlink ref="D128" location="Neu_Allg." display="Neuanschaffungen allgemein"/>
    <hyperlink ref="D129" location="Neu_EDV_Tel." display="Neuanschaffungen EDV und Telekommunikation"/>
    <hyperlink ref="D130" location="Renov_Inst." display="Renovierungen und Instandhaltung"/>
    <hyperlink ref="D97" location="Stellenplan!B6" display="Referate"/>
    <hyperlink ref="D98" location="Stellenplan!C6" display="Bundesknappschaft"/>
    <hyperlink ref="D149" location="WiWi!E13" display="WiWi"/>
    <hyperlink ref="D150" location="KSW!E13" display="KSW"/>
    <hyperlink ref="D151" location="PSY!E13" display="PSY"/>
    <hyperlink ref="D152" location="ReWi!E13" display="ReWi"/>
    <hyperlink ref="D153" location="M_I!E13" display="M+I"/>
    <hyperlink ref="D38" location="WiWi!E5" display="FSR WiWi"/>
    <hyperlink ref="D39" location="KSW!E5" display="FSR KSW"/>
    <hyperlink ref="D40" location="PSY!E5" display="FSR PSY"/>
    <hyperlink ref="D41" location="ReWi!E5" display="FSR ReWi"/>
    <hyperlink ref="D42" location="M_I!E5" display="FSR M+I"/>
    <hyperlink ref="D45" location="WiWi!E6" display="FSR WiWi"/>
    <hyperlink ref="D46" location="KSW!E6" display="FSR KSW"/>
    <hyperlink ref="D47" location="PSY!E6" display="FSR PSY"/>
    <hyperlink ref="D48" location="ReWi!E6" display="FSR ReWi"/>
    <hyperlink ref="D49" location="M_I!E6" display="FSR M+I"/>
    <hyperlink ref="D89" location="WiWi!E11" display="Variable AE FSR WiWi"/>
    <hyperlink ref="D90" location="KSW!E11" display="Variable AE FSR KSW"/>
    <hyperlink ref="D91" location="PSY!E11" display="Variable AE FSR PSY"/>
    <hyperlink ref="D92" location="ReWi!E11" display="Variable AE FSR ReWi"/>
    <hyperlink ref="D93" location="M_I!E11" display="Variable AE FSR M+I"/>
    <hyperlink ref="D161" location="WiWi!E14" display="WiWi"/>
    <hyperlink ref="D162" location="KSW!E14" display="KSW"/>
    <hyperlink ref="D163" location="PSY!E14" display="PSY"/>
    <hyperlink ref="D164" location="ReWi!E14" display="ReWi"/>
    <hyperlink ref="D165" location="M_I!E14" display="M+I"/>
    <hyperlink ref="D185" location="WiWi!E15" display="WiWi"/>
    <hyperlink ref="D186" location="KSW!E15" display="KSW"/>
    <hyperlink ref="D187" location="PSY!E15" display="PSY"/>
    <hyperlink ref="D188" location="ReWi!E15" display="ReWi"/>
    <hyperlink ref="D189" location="M_I!E15" display="M+I"/>
    <hyperlink ref="D191" location="WiWi!E16" display="WiWi"/>
    <hyperlink ref="D192" location="KSW!E16" display="KSW"/>
    <hyperlink ref="D193" location="PSY!E16" display="PSY"/>
    <hyperlink ref="D194" location="ReWi!E16" display="ReWi"/>
    <hyperlink ref="D195" location="M_I!E16" display="M+I"/>
    <hyperlink ref="D197" location="WiWi!E17" display="WiWi"/>
    <hyperlink ref="D198" location="KSW!E17" display="KSW"/>
    <hyperlink ref="D199" location="PSY!E17" display="PSY"/>
    <hyperlink ref="D200" location="ReWi!E17" display="ReWi"/>
    <hyperlink ref="D201" location="M_I!E17" display="M+I"/>
    <hyperlink ref="D203" location="WiWi!E18" display="WiWi"/>
    <hyperlink ref="D204" location="KSW!E18" display="KSW"/>
    <hyperlink ref="D205" location="PSY!E18" display="PSY"/>
    <hyperlink ref="D206" location="ReWi!E18" display="ReWi"/>
    <hyperlink ref="D207" location="M_I!E18" display="M+I"/>
    <hyperlink ref="D209" location="WiWi!E19" display="WiWi"/>
    <hyperlink ref="D210" location="KSW!E19" display="KSW"/>
    <hyperlink ref="D211" location="PSY!E19" display="PSY"/>
    <hyperlink ref="D212" location="ReWi!E19" display="ReWi"/>
    <hyperlink ref="D213" location="M_I!E19" display="M+I"/>
    <hyperlink ref="D215" location="WiWi!E20" display="WiWi"/>
    <hyperlink ref="D216" location="KSW!E20" display="KSW"/>
    <hyperlink ref="D217" location="PSY!E20" display="PSY"/>
    <hyperlink ref="D218" location="ReWi!E20" display="ReWi"/>
    <hyperlink ref="D219" location="M_I!E20" display="M+I"/>
    <hyperlink ref="D221" location="WiWi!E21" display="WiWi"/>
    <hyperlink ref="D222" location="KSW!E21" display="KSW"/>
    <hyperlink ref="D223" location="PSY!E21" display="PSY"/>
    <hyperlink ref="D224" location="ReWi!E21" display="ReWi"/>
    <hyperlink ref="D225" location="M_I!E21" display="M+I"/>
    <hyperlink ref="D254" location="Referatspläne!B123" display="Honorare Lerngruppen"/>
    <hyperlink ref="D255" location="Referatspläne!B131" display="Honorare Veranstaltungen Campus"/>
    <hyperlink ref="D180" location="Referatspläne!J2" display="Druckkosten"/>
    <hyperlink ref="D181" location="Referatspläne!K2" display="Sonstige Kosten"/>
    <hyperlink ref="D20" location="Referatspläne!O1" display="AStA-Veranstaltungen"/>
    <hyperlink ref="D19" location="Referatspläne!N1" display="AStA Seminare"/>
    <hyperlink ref="D24" location="Referatspläne!P2" display="AStA"/>
    <hyperlink ref="D29" location="Referatspläne!Q1" display="Förderungen Hopo"/>
    <hyperlink ref="D28" location="Referatspläne!Q1" display="Förderungen Inkl. U. Gleichstellung"/>
    <hyperlink ref="D30" location="Referatspläne!Q1" display="Sonstige Förderungen und Kooperationen"/>
    <hyperlink ref="D52" location="WiWi!E7" display="FSR WiWi"/>
    <hyperlink ref="D53" location="KSW!E7" display="FSR KSW"/>
    <hyperlink ref="D54" location="PSY!E7" display="FSR PSY"/>
    <hyperlink ref="D55" location="ReWi!E7" display="FSR ReWi"/>
    <hyperlink ref="D56" location="M_I!E7" display="FSR M+I"/>
    <hyperlink ref="D137" location="WiWi!E12" display="FSR WiWi"/>
    <hyperlink ref="D138" location="KSW!E12" display="FSR KSW"/>
    <hyperlink ref="D139" location="PSY!E12" display="FSR PSY"/>
    <hyperlink ref="D140" location="ReWi!E12" display="FSR ReWi"/>
    <hyperlink ref="D141" location="M_I!E12" display="FSR M+I"/>
    <hyperlink ref="D80" location="Aufwandsentschädigungen!C4" display="Fest-AE Stupa-Präsidium und Ausschussvorsitze"/>
    <hyperlink ref="D81" location="Aufwandsentschädigungen!I14" display="Variable AE Stupa, Ausschüsse, Arbeitsgruppen"/>
    <hyperlink ref="D229" location="'Leistungen Dritter'!D5" display="Lohnbuchführung"/>
    <hyperlink ref="D231" location="IT_Dienstl." display="IT-Dienstleistungen"/>
    <hyperlink ref="D125" location="IT_Mieten_Ges." display="IT-Mieten"/>
    <hyperlink ref="D123" location="Lizenzen_Ges." display="Lizenzen_Ges."/>
    <hyperlink ref="D135" location="Referatspläne!D2" display="FK und VP AStA-Referate und Gäste"/>
    <hyperlink ref="D158" location="Referatspläne!F2" display="AStA-Referate + Gäste"/>
    <hyperlink ref="D176" location="Referatspläne!C2" display="Andere Honorare"/>
    <hyperlink ref="D147" location="Referatspläne!H2" display="AStA-Referate und Gäste"/>
    <hyperlink ref="D99" location="Stellenplan!D6" display="Sachkostenpauschale"/>
    <hyperlink ref="D100" location="Stellenplan!E6" display="VBG Unfallversicherung AStA"/>
    <hyperlink ref="D256" location="Referatspläne!D131" display="Bewirtung und Repräsentation Campus"/>
    <hyperlink ref="D267" location="BHS_II" display="Maßnahmen BHS"/>
  </hyperlinks>
  <pageMargins left="0.7" right="0.7" top="0.78740157499999996" bottom="0.78740157499999996" header="0.3" footer="0.3"/>
  <pageSetup paperSize="9" orientation="portrait" verticalDpi="0"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O93"/>
  <sheetViews>
    <sheetView showGridLines="0" topLeftCell="C1" zoomScale="96" zoomScaleNormal="96" workbookViewId="0">
      <selection activeCell="N36" sqref="N36"/>
    </sheetView>
  </sheetViews>
  <sheetFormatPr baseColWidth="10" defaultColWidth="11.42578125" defaultRowHeight="15" outlineLevelRow="1" x14ac:dyDescent="0.25"/>
  <cols>
    <col min="1" max="1" width="10.28515625" customWidth="1"/>
    <col min="2" max="2" width="29.28515625" customWidth="1"/>
    <col min="3" max="3" width="16.42578125" customWidth="1"/>
    <col min="4" max="4" width="15.85546875" customWidth="1"/>
    <col min="5" max="5" width="16" customWidth="1"/>
    <col min="6" max="6" width="14" customWidth="1"/>
    <col min="7" max="7" width="12.85546875" customWidth="1"/>
    <col min="8" max="8" width="13.28515625" customWidth="1"/>
    <col min="9" max="9" width="12.140625" customWidth="1"/>
    <col min="10" max="10" width="13.5703125" customWidth="1"/>
    <col min="11" max="11" width="12" customWidth="1"/>
  </cols>
  <sheetData>
    <row r="1" spans="1:10" ht="18.75" x14ac:dyDescent="0.3">
      <c r="A1" s="11"/>
      <c r="B1" s="7" t="s">
        <v>825</v>
      </c>
    </row>
    <row r="2" spans="1:10" ht="19.5" customHeight="1" thickBot="1" x14ac:dyDescent="0.3"/>
    <row r="3" spans="1:10" s="257" customFormat="1" ht="34.5" customHeight="1" thickBot="1" x14ac:dyDescent="0.3">
      <c r="A3" s="258" t="s">
        <v>2</v>
      </c>
      <c r="B3" s="424" t="s">
        <v>5</v>
      </c>
      <c r="C3" s="399" t="s">
        <v>775</v>
      </c>
      <c r="D3" s="400" t="s">
        <v>776</v>
      </c>
      <c r="E3" s="401" t="s">
        <v>826</v>
      </c>
      <c r="F3" s="401" t="s">
        <v>778</v>
      </c>
      <c r="G3" s="253" t="s">
        <v>779</v>
      </c>
      <c r="H3" s="255" t="s">
        <v>8</v>
      </c>
      <c r="I3" s="256" t="s">
        <v>780</v>
      </c>
      <c r="J3" s="401" t="s">
        <v>781</v>
      </c>
    </row>
    <row r="4" spans="1:10" ht="18.75" customHeight="1" x14ac:dyDescent="0.25">
      <c r="A4" s="185" t="s">
        <v>782</v>
      </c>
      <c r="B4" s="186"/>
      <c r="C4" s="186"/>
      <c r="D4" s="186"/>
      <c r="E4" s="402"/>
      <c r="F4" s="187"/>
      <c r="G4" s="188"/>
      <c r="H4" s="189"/>
      <c r="I4" s="53"/>
      <c r="J4" s="83"/>
    </row>
    <row r="5" spans="1:10" x14ac:dyDescent="0.25">
      <c r="A5" s="190" t="s">
        <v>74</v>
      </c>
      <c r="B5" s="232" t="s">
        <v>673</v>
      </c>
      <c r="C5" s="149"/>
      <c r="D5" s="149"/>
      <c r="E5" s="281">
        <v>10576</v>
      </c>
      <c r="F5" s="173">
        <f>Tabelle410[[#Totals],[Teilnahmebeiträge Fachseminare]]</f>
        <v>10576</v>
      </c>
      <c r="G5" s="171">
        <v>1500</v>
      </c>
      <c r="H5" s="149"/>
      <c r="I5" s="191"/>
      <c r="J5" s="149"/>
    </row>
    <row r="6" spans="1:10" x14ac:dyDescent="0.25">
      <c r="A6" s="190" t="s">
        <v>87</v>
      </c>
      <c r="B6" s="232" t="s">
        <v>674</v>
      </c>
      <c r="C6" s="149"/>
      <c r="D6" s="149"/>
      <c r="E6" s="281">
        <v>1200</v>
      </c>
      <c r="F6" s="173">
        <f>Tabelle410[[#Totals],[Teilnahmebeiträge Veranstaltungen]]+Tabelle513[[#Totals],[Teilnahmebeiträge Veranstaltungen]]</f>
        <v>1500</v>
      </c>
      <c r="G6" s="171">
        <v>0</v>
      </c>
      <c r="H6" s="149"/>
      <c r="I6" s="191"/>
      <c r="J6" s="149"/>
    </row>
    <row r="7" spans="1:10" ht="15.75" thickBot="1" x14ac:dyDescent="0.3">
      <c r="A7" s="190" t="s">
        <v>94</v>
      </c>
      <c r="B7" s="232" t="s">
        <v>783</v>
      </c>
      <c r="C7" s="149"/>
      <c r="D7" s="149"/>
      <c r="E7" s="281">
        <v>0</v>
      </c>
      <c r="F7" s="173">
        <f>Tabelle410[[#Totals],[Sonstige Einnahmen]]+Tabelle513[[#Totals],[Sonstige Einnahmen]]</f>
        <v>0</v>
      </c>
      <c r="G7" s="171">
        <v>0</v>
      </c>
      <c r="H7" s="149"/>
      <c r="I7" s="191"/>
      <c r="J7" s="149"/>
    </row>
    <row r="8" spans="1:10" ht="15.75" thickBot="1" x14ac:dyDescent="0.3">
      <c r="A8" s="192"/>
      <c r="B8" s="193"/>
      <c r="C8" s="193"/>
      <c r="D8" s="193" t="s">
        <v>579</v>
      </c>
      <c r="E8" s="175">
        <f>SUBTOTAL(9,E5:E7)</f>
        <v>11776</v>
      </c>
      <c r="F8" s="175">
        <f>SUBTOTAL(9,F5:F7)</f>
        <v>12076</v>
      </c>
      <c r="G8" s="174">
        <f>SUBTOTAL(9,G5:G7)</f>
        <v>1500</v>
      </c>
      <c r="H8" s="403"/>
      <c r="I8" s="194"/>
      <c r="J8" s="404"/>
    </row>
    <row r="9" spans="1:10" ht="18.75" customHeight="1" x14ac:dyDescent="0.25">
      <c r="A9" s="195" t="s">
        <v>122</v>
      </c>
      <c r="B9" s="196"/>
      <c r="C9" s="196"/>
      <c r="D9" s="196"/>
      <c r="E9" s="176"/>
      <c r="F9" s="177"/>
      <c r="G9" s="176"/>
      <c r="H9" s="196"/>
      <c r="I9" s="197"/>
      <c r="J9" s="149"/>
    </row>
    <row r="10" spans="1:10" x14ac:dyDescent="0.25">
      <c r="A10" s="198" t="s">
        <v>137</v>
      </c>
      <c r="B10" s="149" t="s">
        <v>784</v>
      </c>
      <c r="C10" s="149"/>
      <c r="D10" s="149"/>
      <c r="E10" s="282">
        <v>9600</v>
      </c>
      <c r="F10" s="179">
        <f>800*12</f>
        <v>9600</v>
      </c>
      <c r="G10" s="178">
        <f>800*12</f>
        <v>9600</v>
      </c>
      <c r="H10" s="149"/>
      <c r="I10" s="191"/>
      <c r="J10" s="149"/>
    </row>
    <row r="11" spans="1:10" x14ac:dyDescent="0.25">
      <c r="A11" s="198" t="s">
        <v>141</v>
      </c>
      <c r="B11" s="232" t="s">
        <v>785</v>
      </c>
      <c r="C11" s="149"/>
      <c r="D11" s="149"/>
      <c r="E11" s="281">
        <v>5270</v>
      </c>
      <c r="F11" s="173">
        <f>Tabelle615[[#Totals],[Aufwandsentschädigungen]]</f>
        <v>5270</v>
      </c>
      <c r="G11" s="171">
        <v>1400</v>
      </c>
      <c r="H11" s="149"/>
      <c r="I11" s="191"/>
      <c r="J11" s="149"/>
    </row>
    <row r="12" spans="1:10" x14ac:dyDescent="0.25">
      <c r="A12" s="198" t="s">
        <v>1262</v>
      </c>
      <c r="B12" s="232" t="s">
        <v>787</v>
      </c>
      <c r="C12" s="149"/>
      <c r="D12" s="149"/>
      <c r="E12" s="281">
        <v>3570</v>
      </c>
      <c r="F12" s="173">
        <f>Tabelle615[[#Totals],[Interne Reisekosten]]</f>
        <v>3570</v>
      </c>
      <c r="G12" s="171">
        <v>1000</v>
      </c>
      <c r="H12" s="149"/>
      <c r="I12" s="191"/>
      <c r="J12" s="149"/>
    </row>
    <row r="13" spans="1:10" ht="15" customHeight="1" x14ac:dyDescent="0.25">
      <c r="A13" s="198" t="s">
        <v>277</v>
      </c>
      <c r="B13" s="232" t="s">
        <v>788</v>
      </c>
      <c r="C13" s="199"/>
      <c r="D13" s="199"/>
      <c r="E13" s="281">
        <v>2670</v>
      </c>
      <c r="F13" s="200">
        <f>Tabelle615[[#Totals],[Raum + Unterkunft intern]]</f>
        <v>2670</v>
      </c>
      <c r="G13" s="171">
        <v>500</v>
      </c>
      <c r="H13" s="199"/>
      <c r="I13" s="201"/>
      <c r="J13" s="149"/>
    </row>
    <row r="14" spans="1:10" x14ac:dyDescent="0.25">
      <c r="A14" s="198" t="s">
        <v>302</v>
      </c>
      <c r="B14" s="234" t="s">
        <v>789</v>
      </c>
      <c r="C14" s="83"/>
      <c r="D14" s="83"/>
      <c r="E14" s="281">
        <v>1200</v>
      </c>
      <c r="F14" s="170">
        <f>Tabelle615[[#Totals],[Repräsentation/Bewirtung intern]]</f>
        <v>1200</v>
      </c>
      <c r="G14" s="171">
        <v>100</v>
      </c>
      <c r="H14" s="83"/>
      <c r="I14" s="202"/>
      <c r="J14" s="83"/>
    </row>
    <row r="15" spans="1:10" x14ac:dyDescent="0.25">
      <c r="A15" s="745" t="s">
        <v>350</v>
      </c>
      <c r="B15" s="232" t="s">
        <v>790</v>
      </c>
      <c r="C15" s="149"/>
      <c r="D15" s="149"/>
      <c r="E15" s="738">
        <v>8510</v>
      </c>
      <c r="F15" s="173">
        <f>Tabelle410[[#Totals],[Honorare Dozierende Fachseminare]]</f>
        <v>8510</v>
      </c>
      <c r="G15" s="739">
        <v>2100</v>
      </c>
      <c r="H15" s="149"/>
      <c r="I15" s="191"/>
      <c r="J15" s="149"/>
    </row>
    <row r="16" spans="1:10" x14ac:dyDescent="0.25">
      <c r="A16" s="745" t="s">
        <v>361</v>
      </c>
      <c r="B16" s="233" t="s">
        <v>329</v>
      </c>
      <c r="C16" s="741"/>
      <c r="D16" s="741"/>
      <c r="E16" s="738">
        <v>2640</v>
      </c>
      <c r="F16" s="746">
        <f>Tabelle513[[#Totals],[Andere Honorare]]</f>
        <v>2640</v>
      </c>
      <c r="G16" s="739">
        <v>600</v>
      </c>
      <c r="H16" s="741"/>
      <c r="I16" s="742"/>
      <c r="J16" s="741"/>
    </row>
    <row r="17" spans="1:11" x14ac:dyDescent="0.25">
      <c r="A17" s="745" t="s">
        <v>371</v>
      </c>
      <c r="B17" s="233" t="s">
        <v>791</v>
      </c>
      <c r="C17" s="741"/>
      <c r="D17" s="741"/>
      <c r="E17" s="738">
        <v>100</v>
      </c>
      <c r="F17" s="746">
        <f>Tabelle410[[#Totals],[Externe Reisekosten]]</f>
        <v>100</v>
      </c>
      <c r="G17" s="739">
        <v>300</v>
      </c>
      <c r="H17" s="741"/>
      <c r="I17" s="742"/>
      <c r="J17" s="741"/>
    </row>
    <row r="18" spans="1:11" x14ac:dyDescent="0.25">
      <c r="A18" s="745" t="s">
        <v>379</v>
      </c>
      <c r="B18" s="233" t="s">
        <v>376</v>
      </c>
      <c r="C18" s="741"/>
      <c r="D18" s="741"/>
      <c r="E18" s="738">
        <v>340</v>
      </c>
      <c r="F18" s="746">
        <f>Tabelle410[[#Totals],[Repräsentation/Bewirtung extern]]+Tabelle513[[#Totals],[Repräsentation/Bewirtung extern]]</f>
        <v>340</v>
      </c>
      <c r="G18" s="739">
        <v>100</v>
      </c>
      <c r="H18" s="741"/>
      <c r="I18" s="742"/>
      <c r="J18" s="741"/>
    </row>
    <row r="19" spans="1:11" x14ac:dyDescent="0.25">
      <c r="A19" s="745" t="s">
        <v>391</v>
      </c>
      <c r="B19" s="233" t="s">
        <v>792</v>
      </c>
      <c r="C19" s="741"/>
      <c r="D19" s="741"/>
      <c r="E19" s="738">
        <v>200</v>
      </c>
      <c r="F19" s="746">
        <f>Tabelle410[[#Totals],[Raum + Unterkunft extern]]+Tabelle513[[#Totals],[Raum + Unterkunft extern]]</f>
        <v>180</v>
      </c>
      <c r="G19" s="739">
        <v>500</v>
      </c>
      <c r="H19" s="741"/>
      <c r="I19" s="742"/>
      <c r="J19" s="741"/>
    </row>
    <row r="20" spans="1:11" x14ac:dyDescent="0.25">
      <c r="A20" s="198" t="s">
        <v>401</v>
      </c>
      <c r="B20" s="234" t="s">
        <v>1297</v>
      </c>
      <c r="C20" s="83"/>
      <c r="D20" s="83"/>
      <c r="E20" s="281">
        <v>1500</v>
      </c>
      <c r="F20" s="170">
        <f>Tabelle410[[#Totals],[Verwaltungs- und Druckkosten]]+Tabelle513[[#Totals],[Druckkosten]]</f>
        <v>1531</v>
      </c>
      <c r="G20" s="171">
        <v>0</v>
      </c>
      <c r="H20" s="83"/>
      <c r="I20" s="202"/>
      <c r="J20" s="83"/>
    </row>
    <row r="21" spans="1:11" x14ac:dyDescent="0.25">
      <c r="A21" s="198" t="s">
        <v>414</v>
      </c>
      <c r="B21" s="234" t="s">
        <v>410</v>
      </c>
      <c r="C21" s="83"/>
      <c r="D21" s="83"/>
      <c r="E21" s="281">
        <v>1800</v>
      </c>
      <c r="F21" s="170">
        <f>Tabelle513[[#Totals],[Sonstige Kosten]]</f>
        <v>1880</v>
      </c>
      <c r="G21" s="171">
        <v>500</v>
      </c>
      <c r="H21" s="83"/>
      <c r="I21" s="202"/>
      <c r="J21" s="83"/>
    </row>
    <row r="22" spans="1:11" ht="15.75" thickBot="1" x14ac:dyDescent="0.3">
      <c r="A22" s="198" t="s">
        <v>440</v>
      </c>
      <c r="B22" s="234" t="s">
        <v>715</v>
      </c>
      <c r="C22" s="83"/>
      <c r="D22" s="83"/>
      <c r="E22" s="283">
        <v>200</v>
      </c>
      <c r="F22" s="203">
        <f>Tabelle513[[#Totals],[Rechtsangelegenheiten]]</f>
        <v>200</v>
      </c>
      <c r="G22" s="182">
        <v>200</v>
      </c>
      <c r="H22" s="83"/>
      <c r="I22" s="202"/>
      <c r="J22" s="83"/>
    </row>
    <row r="23" spans="1:11" ht="15.75" thickBot="1" x14ac:dyDescent="0.3">
      <c r="A23" s="204"/>
      <c r="B23" s="205"/>
      <c r="C23" s="205"/>
      <c r="D23" s="206" t="s">
        <v>579</v>
      </c>
      <c r="E23" s="184">
        <f>SUBTOTAL(109,E10:E22)</f>
        <v>37600</v>
      </c>
      <c r="F23" s="184">
        <f>SUBTOTAL(109,F10:F22)</f>
        <v>37691</v>
      </c>
      <c r="G23" s="184">
        <f>SUBTOTAL(109,G10:G22)</f>
        <v>16900</v>
      </c>
      <c r="H23" s="405"/>
      <c r="I23" s="207"/>
      <c r="J23" s="406"/>
    </row>
    <row r="24" spans="1:11" ht="15.75" thickBot="1" x14ac:dyDescent="0.3">
      <c r="A24" s="81"/>
      <c r="B24" s="83"/>
      <c r="C24" s="83"/>
      <c r="D24" s="83"/>
      <c r="E24" s="83"/>
      <c r="F24" s="83"/>
      <c r="G24" s="83"/>
      <c r="H24" s="83"/>
    </row>
    <row r="25" spans="1:11" ht="15.75" thickBot="1" x14ac:dyDescent="0.3">
      <c r="A25" s="81"/>
      <c r="B25" s="83"/>
      <c r="C25" s="83"/>
      <c r="D25" s="213" t="s">
        <v>793</v>
      </c>
      <c r="E25" s="217">
        <f>E8-Tabelle1822[[#Totals],[Freie Eingabe Plan 22-23]]</f>
        <v>-25824</v>
      </c>
      <c r="F25" s="407">
        <f>F8-Tabelle1822[[#Totals],[Rechnung HHJ 22-23]]</f>
        <v>-25615</v>
      </c>
      <c r="G25" s="217">
        <f>G8-Tabelle1822[[#Totals],[Freie Eingabe Plan HHJ 21-22]]</f>
        <v>-15400</v>
      </c>
      <c r="H25" s="407"/>
      <c r="I25" s="217"/>
      <c r="J25" s="407"/>
      <c r="K25" s="217"/>
    </row>
    <row r="26" spans="1:11" x14ac:dyDescent="0.25">
      <c r="A26" s="80"/>
      <c r="B26" s="79"/>
      <c r="C26" s="79"/>
      <c r="D26" s="79"/>
      <c r="E26" s="79"/>
      <c r="F26" s="79"/>
      <c r="G26" s="79"/>
      <c r="H26" s="79"/>
    </row>
    <row r="27" spans="1:11" ht="15.75" x14ac:dyDescent="0.25">
      <c r="B27" s="117" t="s">
        <v>794</v>
      </c>
      <c r="C27" s="79"/>
      <c r="D27" s="79"/>
      <c r="E27" s="91"/>
      <c r="F27" s="79"/>
      <c r="G27" s="79"/>
      <c r="H27" s="79"/>
    </row>
    <row r="28" spans="1:11" ht="15.75" x14ac:dyDescent="0.25">
      <c r="B28" s="80" t="s">
        <v>795</v>
      </c>
      <c r="C28" s="79"/>
      <c r="D28" s="79"/>
      <c r="E28" s="91"/>
      <c r="F28" s="79"/>
      <c r="G28" s="79"/>
      <c r="H28" s="79"/>
    </row>
    <row r="29" spans="1:11" x14ac:dyDescent="0.25">
      <c r="B29" s="80" t="s">
        <v>796</v>
      </c>
      <c r="C29" s="83"/>
      <c r="D29" s="83"/>
      <c r="E29" s="92"/>
      <c r="F29" s="83"/>
      <c r="G29" s="83"/>
      <c r="H29" s="83"/>
    </row>
    <row r="30" spans="1:11" x14ac:dyDescent="0.25">
      <c r="A30" s="81"/>
      <c r="B30" s="83"/>
      <c r="C30" s="83"/>
      <c r="D30" s="83"/>
      <c r="E30" s="92"/>
      <c r="F30" s="83"/>
      <c r="G30" s="83"/>
      <c r="H30" s="83"/>
    </row>
    <row r="31" spans="1:11" x14ac:dyDescent="0.25">
      <c r="A31" s="80"/>
      <c r="B31" s="79"/>
      <c r="C31" s="79"/>
      <c r="D31" s="79"/>
      <c r="E31" s="79"/>
      <c r="F31" s="79"/>
      <c r="G31" s="79"/>
      <c r="H31" s="79"/>
    </row>
    <row r="32" spans="1:11" ht="15.75" x14ac:dyDescent="0.25">
      <c r="A32" s="7"/>
      <c r="B32" s="7" t="s">
        <v>1299</v>
      </c>
      <c r="D32" s="6" t="s">
        <v>797</v>
      </c>
    </row>
    <row r="33" spans="1:14" ht="16.5" thickBot="1" x14ac:dyDescent="0.3">
      <c r="A33" s="7"/>
    </row>
    <row r="34" spans="1:14" ht="15.75" thickBot="1" x14ac:dyDescent="0.3">
      <c r="A34" s="408"/>
      <c r="B34" s="409" t="s">
        <v>679</v>
      </c>
      <c r="C34" s="410" t="s">
        <v>74</v>
      </c>
      <c r="D34" s="411" t="s">
        <v>87</v>
      </c>
      <c r="E34" s="411" t="s">
        <v>94</v>
      </c>
      <c r="F34" s="412" t="s">
        <v>350</v>
      </c>
      <c r="G34" s="412"/>
      <c r="H34" s="412" t="s">
        <v>371</v>
      </c>
      <c r="I34" s="412" t="s">
        <v>379</v>
      </c>
      <c r="J34" s="412" t="s">
        <v>391</v>
      </c>
      <c r="K34" s="412" t="s">
        <v>401</v>
      </c>
      <c r="L34" s="413"/>
    </row>
    <row r="35" spans="1:14" ht="39.75" thickBot="1" x14ac:dyDescent="0.3">
      <c r="A35" s="98" t="s">
        <v>798</v>
      </c>
      <c r="B35" s="142" t="s">
        <v>799</v>
      </c>
      <c r="C35" s="414" t="s">
        <v>800</v>
      </c>
      <c r="D35" s="415" t="s">
        <v>674</v>
      </c>
      <c r="E35" s="415" t="s">
        <v>801</v>
      </c>
      <c r="F35" s="415" t="s">
        <v>326</v>
      </c>
      <c r="G35" s="415" t="s">
        <v>806</v>
      </c>
      <c r="H35" s="415" t="s">
        <v>333</v>
      </c>
      <c r="I35" s="415" t="s">
        <v>802</v>
      </c>
      <c r="J35" s="415" t="s">
        <v>803</v>
      </c>
      <c r="K35" s="415" t="s">
        <v>1290</v>
      </c>
      <c r="L35" s="416" t="s">
        <v>630</v>
      </c>
    </row>
    <row r="36" spans="1:14" s="84" customFormat="1" ht="390" outlineLevel="1" x14ac:dyDescent="0.25">
      <c r="A36" s="93">
        <f t="shared" ref="A36:A44" si="0">ROW(A1)</f>
        <v>1</v>
      </c>
      <c r="B36" s="750" t="s">
        <v>1352</v>
      </c>
      <c r="C36" s="417"/>
      <c r="D36" s="320"/>
      <c r="E36" s="320"/>
      <c r="F36" s="320"/>
      <c r="G36" s="320"/>
      <c r="H36" s="320"/>
      <c r="I36" s="320"/>
      <c r="J36" s="320"/>
      <c r="K36" s="320"/>
      <c r="L36" s="325">
        <f>SUM(C36:E36)-SUM(F36:K36)</f>
        <v>0</v>
      </c>
      <c r="N36" s="748" t="s">
        <v>1362</v>
      </c>
    </row>
    <row r="37" spans="1:14" s="84" customFormat="1" ht="135" outlineLevel="1" x14ac:dyDescent="0.25">
      <c r="A37" s="93">
        <f t="shared" si="0"/>
        <v>2</v>
      </c>
      <c r="B37" s="302" t="s">
        <v>1351</v>
      </c>
      <c r="C37" s="118">
        <v>2902.5</v>
      </c>
      <c r="D37" s="119"/>
      <c r="E37" s="119"/>
      <c r="F37" s="119">
        <v>2200</v>
      </c>
      <c r="G37" s="119">
        <v>312.5</v>
      </c>
      <c r="H37" s="119"/>
      <c r="I37" s="119">
        <v>50</v>
      </c>
      <c r="J37" s="119"/>
      <c r="K37" s="119">
        <v>340</v>
      </c>
      <c r="L37" s="120">
        <f t="shared" ref="L37:L56" si="1">SUM(C37:E37)-SUM(F37:K37)</f>
        <v>0</v>
      </c>
    </row>
    <row r="38" spans="1:14" s="84" customFormat="1" ht="165" outlineLevel="1" x14ac:dyDescent="0.25">
      <c r="A38" s="93">
        <f t="shared" si="0"/>
        <v>3</v>
      </c>
      <c r="B38" s="302" t="s">
        <v>1330</v>
      </c>
      <c r="C38" s="118">
        <v>3642</v>
      </c>
      <c r="D38" s="119"/>
      <c r="E38" s="119"/>
      <c r="F38" s="119">
        <v>3080</v>
      </c>
      <c r="G38" s="119">
        <v>250</v>
      </c>
      <c r="H38" s="119"/>
      <c r="I38" s="119">
        <v>40</v>
      </c>
      <c r="J38" s="119"/>
      <c r="K38" s="119">
        <v>272</v>
      </c>
      <c r="L38" s="120">
        <f t="shared" si="1"/>
        <v>0</v>
      </c>
    </row>
    <row r="39" spans="1:14" s="84" customFormat="1" ht="120" outlineLevel="1" x14ac:dyDescent="0.25">
      <c r="A39" s="93">
        <f t="shared" si="0"/>
        <v>4</v>
      </c>
      <c r="B39" s="302" t="s">
        <v>1329</v>
      </c>
      <c r="C39" s="118">
        <v>2731.5</v>
      </c>
      <c r="D39" s="119"/>
      <c r="E39" s="119"/>
      <c r="F39" s="119">
        <v>2310</v>
      </c>
      <c r="G39" s="119">
        <v>187.5</v>
      </c>
      <c r="H39" s="119"/>
      <c r="I39" s="119">
        <v>30</v>
      </c>
      <c r="J39" s="119"/>
      <c r="K39" s="119">
        <v>204</v>
      </c>
      <c r="L39" s="120">
        <f t="shared" si="1"/>
        <v>0</v>
      </c>
    </row>
    <row r="40" spans="1:14" s="84" customFormat="1" outlineLevel="1" x14ac:dyDescent="0.25">
      <c r="A40" s="93">
        <f t="shared" si="0"/>
        <v>5</v>
      </c>
      <c r="B40" s="302"/>
      <c r="C40" s="118"/>
      <c r="D40" s="119"/>
      <c r="E40" s="119"/>
      <c r="F40" s="318"/>
      <c r="G40" s="119"/>
      <c r="H40" s="119"/>
      <c r="I40" s="119"/>
      <c r="J40" s="119"/>
      <c r="K40" s="119"/>
      <c r="L40" s="120">
        <f t="shared" si="1"/>
        <v>0</v>
      </c>
    </row>
    <row r="41" spans="1:14" s="84" customFormat="1" outlineLevel="1" x14ac:dyDescent="0.25">
      <c r="A41" s="93">
        <f t="shared" si="0"/>
        <v>6</v>
      </c>
      <c r="B41" s="302"/>
      <c r="C41" s="118"/>
      <c r="D41" s="119"/>
      <c r="E41" s="119"/>
      <c r="F41" s="319"/>
      <c r="G41" s="119"/>
      <c r="H41" s="119"/>
      <c r="I41" s="119"/>
      <c r="J41" s="119"/>
      <c r="K41" s="119"/>
      <c r="L41" s="120">
        <f t="shared" si="1"/>
        <v>0</v>
      </c>
    </row>
    <row r="42" spans="1:14" s="84" customFormat="1" outlineLevel="1" x14ac:dyDescent="0.25">
      <c r="A42" s="93">
        <f t="shared" si="0"/>
        <v>7</v>
      </c>
      <c r="B42" s="302"/>
      <c r="C42" s="118"/>
      <c r="D42" s="119"/>
      <c r="E42" s="119"/>
      <c r="F42" s="318"/>
      <c r="G42" s="119"/>
      <c r="H42" s="119"/>
      <c r="I42" s="119"/>
      <c r="J42" s="119"/>
      <c r="K42" s="119"/>
      <c r="L42" s="120">
        <f t="shared" si="1"/>
        <v>0</v>
      </c>
    </row>
    <row r="43" spans="1:14" s="84" customFormat="1" outlineLevel="1" x14ac:dyDescent="0.25">
      <c r="A43" s="93">
        <f t="shared" si="0"/>
        <v>8</v>
      </c>
      <c r="B43" s="302"/>
      <c r="C43" s="118"/>
      <c r="D43" s="119"/>
      <c r="E43" s="119"/>
      <c r="F43" s="319"/>
      <c r="G43" s="119"/>
      <c r="H43" s="119"/>
      <c r="I43" s="119"/>
      <c r="J43" s="119"/>
      <c r="K43" s="119"/>
      <c r="L43" s="120">
        <f t="shared" si="1"/>
        <v>0</v>
      </c>
    </row>
    <row r="44" spans="1:14" s="84" customFormat="1" outlineLevel="1" x14ac:dyDescent="0.25">
      <c r="A44" s="93">
        <f t="shared" si="0"/>
        <v>9</v>
      </c>
      <c r="B44" s="302"/>
      <c r="C44" s="118"/>
      <c r="D44" s="119"/>
      <c r="E44" s="119"/>
      <c r="F44" s="318"/>
      <c r="G44" s="119"/>
      <c r="H44" s="119"/>
      <c r="I44" s="119"/>
      <c r="J44" s="119"/>
      <c r="K44" s="119"/>
      <c r="L44" s="120">
        <f t="shared" si="1"/>
        <v>0</v>
      </c>
    </row>
    <row r="45" spans="1:14" s="84" customFormat="1" outlineLevel="1" x14ac:dyDescent="0.25">
      <c r="A45" s="93">
        <f>ROW(A10)</f>
        <v>10</v>
      </c>
      <c r="B45" s="302"/>
      <c r="C45" s="118"/>
      <c r="D45" s="119"/>
      <c r="E45" s="119"/>
      <c r="F45" s="319"/>
      <c r="G45" s="119"/>
      <c r="H45" s="119"/>
      <c r="I45" s="119"/>
      <c r="J45" s="119"/>
      <c r="K45" s="119"/>
      <c r="L45" s="120">
        <f t="shared" si="1"/>
        <v>0</v>
      </c>
    </row>
    <row r="46" spans="1:14" s="84" customFormat="1" outlineLevel="1" x14ac:dyDescent="0.25">
      <c r="A46" s="93">
        <f t="shared" ref="A46:A56" si="2">ROW(A11)</f>
        <v>11</v>
      </c>
      <c r="B46" s="302"/>
      <c r="C46" s="118"/>
      <c r="D46" s="119"/>
      <c r="E46" s="119"/>
      <c r="F46" s="318"/>
      <c r="G46" s="119"/>
      <c r="H46" s="119"/>
      <c r="I46" s="119"/>
      <c r="J46" s="119"/>
      <c r="K46" s="119"/>
      <c r="L46" s="120">
        <f t="shared" si="1"/>
        <v>0</v>
      </c>
    </row>
    <row r="47" spans="1:14" s="84" customFormat="1" outlineLevel="1" x14ac:dyDescent="0.25">
      <c r="A47" s="93">
        <f t="shared" si="2"/>
        <v>12</v>
      </c>
      <c r="B47" s="302"/>
      <c r="C47" s="118"/>
      <c r="D47" s="119"/>
      <c r="E47" s="119"/>
      <c r="F47" s="119"/>
      <c r="G47" s="119"/>
      <c r="H47" s="119"/>
      <c r="I47" s="119"/>
      <c r="J47" s="119"/>
      <c r="K47" s="119"/>
      <c r="L47" s="120">
        <f t="shared" si="1"/>
        <v>0</v>
      </c>
    </row>
    <row r="48" spans="1:14" s="84" customFormat="1" outlineLevel="1" x14ac:dyDescent="0.25">
      <c r="A48" s="93">
        <f t="shared" si="2"/>
        <v>13</v>
      </c>
      <c r="B48" s="302"/>
      <c r="C48" s="118"/>
      <c r="D48" s="119"/>
      <c r="E48" s="119"/>
      <c r="F48" s="119"/>
      <c r="G48" s="119"/>
      <c r="H48" s="119"/>
      <c r="I48" s="119"/>
      <c r="J48" s="119"/>
      <c r="K48" s="119"/>
      <c r="L48" s="120">
        <f t="shared" si="1"/>
        <v>0</v>
      </c>
    </row>
    <row r="49" spans="1:15" s="84" customFormat="1" outlineLevel="1" x14ac:dyDescent="0.25">
      <c r="A49" s="93">
        <f t="shared" si="2"/>
        <v>14</v>
      </c>
      <c r="B49" s="302"/>
      <c r="C49" s="118"/>
      <c r="D49" s="119"/>
      <c r="E49" s="119"/>
      <c r="F49" s="119"/>
      <c r="G49" s="119"/>
      <c r="H49" s="119"/>
      <c r="I49" s="119"/>
      <c r="J49" s="119"/>
      <c r="K49" s="119"/>
      <c r="L49" s="120">
        <f t="shared" si="1"/>
        <v>0</v>
      </c>
    </row>
    <row r="50" spans="1:15" s="84" customFormat="1" outlineLevel="1" x14ac:dyDescent="0.25">
      <c r="A50" s="93">
        <f t="shared" si="2"/>
        <v>15</v>
      </c>
      <c r="B50" s="302"/>
      <c r="C50" s="118"/>
      <c r="D50" s="119"/>
      <c r="E50" s="119"/>
      <c r="F50" s="119"/>
      <c r="G50" s="119"/>
      <c r="H50" s="119"/>
      <c r="I50" s="119"/>
      <c r="J50" s="119"/>
      <c r="K50" s="119"/>
      <c r="L50" s="120">
        <f t="shared" si="1"/>
        <v>0</v>
      </c>
    </row>
    <row r="51" spans="1:15" s="84" customFormat="1" outlineLevel="1" x14ac:dyDescent="0.25">
      <c r="A51" s="93">
        <f t="shared" si="2"/>
        <v>16</v>
      </c>
      <c r="B51" s="302"/>
      <c r="C51" s="118"/>
      <c r="D51" s="119"/>
      <c r="E51" s="119"/>
      <c r="F51" s="119"/>
      <c r="G51" s="119"/>
      <c r="H51" s="119"/>
      <c r="I51" s="119"/>
      <c r="J51" s="119"/>
      <c r="K51" s="119"/>
      <c r="L51" s="120">
        <f t="shared" si="1"/>
        <v>0</v>
      </c>
    </row>
    <row r="52" spans="1:15" s="84" customFormat="1" outlineLevel="1" x14ac:dyDescent="0.25">
      <c r="A52" s="93">
        <f t="shared" si="2"/>
        <v>17</v>
      </c>
      <c r="B52" s="302"/>
      <c r="C52" s="118"/>
      <c r="D52" s="119"/>
      <c r="E52" s="119"/>
      <c r="F52" s="119"/>
      <c r="G52" s="119"/>
      <c r="H52" s="119"/>
      <c r="I52" s="119"/>
      <c r="J52" s="119"/>
      <c r="K52" s="119"/>
      <c r="L52" s="120">
        <f t="shared" si="1"/>
        <v>0</v>
      </c>
    </row>
    <row r="53" spans="1:15" s="84" customFormat="1" outlineLevel="1" x14ac:dyDescent="0.25">
      <c r="A53" s="93">
        <f t="shared" si="2"/>
        <v>18</v>
      </c>
      <c r="B53" s="302"/>
      <c r="C53" s="118"/>
      <c r="D53" s="119"/>
      <c r="E53" s="119"/>
      <c r="F53" s="119"/>
      <c r="G53" s="119"/>
      <c r="H53" s="119"/>
      <c r="I53" s="119"/>
      <c r="J53" s="119"/>
      <c r="K53" s="119"/>
      <c r="L53" s="120">
        <f t="shared" si="1"/>
        <v>0</v>
      </c>
    </row>
    <row r="54" spans="1:15" s="84" customFormat="1" outlineLevel="1" x14ac:dyDescent="0.25">
      <c r="A54" s="93">
        <f t="shared" si="2"/>
        <v>19</v>
      </c>
      <c r="B54" s="302"/>
      <c r="C54" s="118"/>
      <c r="D54" s="119"/>
      <c r="E54" s="119"/>
      <c r="F54" s="119"/>
      <c r="G54" s="119"/>
      <c r="H54" s="119"/>
      <c r="I54" s="119"/>
      <c r="J54" s="119"/>
      <c r="K54" s="119"/>
      <c r="L54" s="120">
        <f t="shared" si="1"/>
        <v>0</v>
      </c>
    </row>
    <row r="55" spans="1:15" s="84" customFormat="1" outlineLevel="1" x14ac:dyDescent="0.25">
      <c r="A55" s="93">
        <f t="shared" si="2"/>
        <v>20</v>
      </c>
      <c r="B55" s="302"/>
      <c r="C55" s="118"/>
      <c r="D55" s="119"/>
      <c r="E55" s="119"/>
      <c r="F55" s="119"/>
      <c r="G55" s="119"/>
      <c r="H55" s="119"/>
      <c r="I55" s="119"/>
      <c r="J55" s="119"/>
      <c r="K55" s="119"/>
      <c r="L55" s="120">
        <f t="shared" si="1"/>
        <v>0</v>
      </c>
    </row>
    <row r="56" spans="1:15" s="84" customFormat="1" outlineLevel="1" x14ac:dyDescent="0.25">
      <c r="A56" s="93">
        <f t="shared" si="2"/>
        <v>21</v>
      </c>
      <c r="B56" s="313" t="s">
        <v>629</v>
      </c>
      <c r="C56" s="121">
        <v>1300</v>
      </c>
      <c r="D56" s="122">
        <v>0</v>
      </c>
      <c r="E56" s="122">
        <v>0</v>
      </c>
      <c r="F56" s="122">
        <v>920</v>
      </c>
      <c r="G56" s="122">
        <v>150</v>
      </c>
      <c r="H56" s="122">
        <v>100</v>
      </c>
      <c r="I56" s="122">
        <v>30</v>
      </c>
      <c r="J56" s="122">
        <v>0</v>
      </c>
      <c r="K56" s="122">
        <v>200</v>
      </c>
      <c r="L56" s="120">
        <f t="shared" si="1"/>
        <v>-100</v>
      </c>
    </row>
    <row r="57" spans="1:15" s="84" customFormat="1" ht="15.75" outlineLevel="1" thickBot="1" x14ac:dyDescent="0.3">
      <c r="A57" s="93"/>
      <c r="C57" s="124"/>
      <c r="D57" s="119"/>
      <c r="E57" s="119"/>
      <c r="F57" s="125"/>
      <c r="G57" s="119"/>
      <c r="H57" s="119"/>
      <c r="I57" s="119"/>
      <c r="J57" s="119"/>
      <c r="K57" s="119"/>
      <c r="L57" s="126"/>
    </row>
    <row r="58" spans="1:15" s="101" customFormat="1" ht="20.25" customHeight="1" thickBot="1" x14ac:dyDescent="0.3">
      <c r="A58" s="99"/>
      <c r="B58" s="100" t="s">
        <v>754</v>
      </c>
      <c r="C58" s="301">
        <f>SUBTOTAL(9,Tabelle410[Teilnahmebeiträge Fachseminare])</f>
        <v>10576</v>
      </c>
      <c r="D58" s="425">
        <f>SUBTOTAL(9,Tabelle410[Teilnahmebeiträge Veranstaltungen])</f>
        <v>0</v>
      </c>
      <c r="E58" s="425">
        <f>SUBTOTAL(9,Tabelle410[Sonstige Einnahmen])</f>
        <v>0</v>
      </c>
      <c r="F58" s="426">
        <f>SUBTOTAL(9,Tabelle410[Honorare Dozierende Fachseminare])</f>
        <v>8510</v>
      </c>
      <c r="G58" s="426">
        <f>SUBTOTAL(9,Tabelle410[Aufwandsentschädigungen])</f>
        <v>900</v>
      </c>
      <c r="H58" s="426">
        <f>SUBTOTAL(9,Tabelle410[Externe Reisekosten])</f>
        <v>100</v>
      </c>
      <c r="I58" s="426">
        <f>SUBTOTAL(9,Tabelle410[Repräsentation/Bewirtung extern])</f>
        <v>150</v>
      </c>
      <c r="J58" s="426">
        <f>SUBTOTAL(9,Tabelle410[Raum + Unterkunft extern])</f>
        <v>0</v>
      </c>
      <c r="K58" s="426">
        <f>SUBTOTAL(9,Tabelle410[Verwaltungs- und Druckkosten])</f>
        <v>1016</v>
      </c>
      <c r="L58" s="756">
        <f>SUBTOTAL(9,Tabelle410[Gesamt])</f>
        <v>-100</v>
      </c>
    </row>
    <row r="59" spans="1:15" ht="15" customHeight="1" x14ac:dyDescent="0.3">
      <c r="A59" s="11"/>
    </row>
    <row r="60" spans="1:15" s="78" customFormat="1" ht="15.75" x14ac:dyDescent="0.25">
      <c r="A60" s="7"/>
      <c r="B60" s="7" t="s">
        <v>804</v>
      </c>
      <c r="D60" s="6" t="s">
        <v>797</v>
      </c>
    </row>
    <row r="61" spans="1:15" ht="15.75" customHeight="1" thickBot="1" x14ac:dyDescent="0.35">
      <c r="A61" s="11"/>
    </row>
    <row r="62" spans="1:15" ht="15.75" thickBot="1" x14ac:dyDescent="0.3">
      <c r="A62" s="103"/>
      <c r="B62" s="145" t="s">
        <v>679</v>
      </c>
      <c r="C62" s="94" t="s">
        <v>87</v>
      </c>
      <c r="D62" s="95" t="s">
        <v>94</v>
      </c>
      <c r="E62" s="96" t="s">
        <v>141</v>
      </c>
      <c r="F62" s="96" t="s">
        <v>249</v>
      </c>
      <c r="G62" s="96" t="s">
        <v>277</v>
      </c>
      <c r="H62" s="96" t="s">
        <v>302</v>
      </c>
      <c r="I62" s="96" t="s">
        <v>379</v>
      </c>
      <c r="J62" s="96" t="s">
        <v>391</v>
      </c>
      <c r="K62" s="96" t="s">
        <v>401</v>
      </c>
      <c r="L62" s="96" t="s">
        <v>414</v>
      </c>
      <c r="M62" s="96" t="s">
        <v>440</v>
      </c>
      <c r="N62" s="743" t="s">
        <v>361</v>
      </c>
      <c r="O62" s="97"/>
    </row>
    <row r="63" spans="1:15" ht="39.75" thickBot="1" x14ac:dyDescent="0.3">
      <c r="A63" s="104" t="s">
        <v>798</v>
      </c>
      <c r="B63" s="102" t="s">
        <v>805</v>
      </c>
      <c r="C63" s="105" t="s">
        <v>674</v>
      </c>
      <c r="D63" s="102" t="s">
        <v>801</v>
      </c>
      <c r="E63" s="102" t="s">
        <v>806</v>
      </c>
      <c r="F63" s="102" t="s">
        <v>667</v>
      </c>
      <c r="G63" s="102" t="s">
        <v>807</v>
      </c>
      <c r="H63" s="102" t="s">
        <v>808</v>
      </c>
      <c r="I63" s="102" t="s">
        <v>802</v>
      </c>
      <c r="J63" s="102" t="s">
        <v>803</v>
      </c>
      <c r="K63" s="102" t="s">
        <v>342</v>
      </c>
      <c r="L63" s="102" t="s">
        <v>321</v>
      </c>
      <c r="M63" s="102" t="s">
        <v>715</v>
      </c>
      <c r="N63" s="102" t="s">
        <v>329</v>
      </c>
      <c r="O63" s="106" t="s">
        <v>630</v>
      </c>
    </row>
    <row r="64" spans="1:15" s="84" customFormat="1" outlineLevel="1" x14ac:dyDescent="0.25">
      <c r="A64" s="284">
        <f>ROW(A1)</f>
        <v>1</v>
      </c>
      <c r="B64" s="304" t="s">
        <v>809</v>
      </c>
      <c r="C64" s="420"/>
      <c r="D64" s="421"/>
      <c r="E64" s="421"/>
      <c r="F64" s="421"/>
      <c r="G64" s="421"/>
      <c r="H64" s="421"/>
      <c r="I64" s="421"/>
      <c r="J64" s="421"/>
      <c r="K64" s="421"/>
      <c r="L64" s="421">
        <v>160</v>
      </c>
      <c r="M64" s="421"/>
      <c r="N64" s="421"/>
      <c r="O64" s="292">
        <f t="shared" ref="O64:O75" si="3">SUM(C64:D64)-SUM(F64:N64)</f>
        <v>-160</v>
      </c>
    </row>
    <row r="65" spans="1:15" s="84" customFormat="1" outlineLevel="1" x14ac:dyDescent="0.25">
      <c r="A65" s="284">
        <f t="shared" ref="A65:A70" si="4">ROW(A2)</f>
        <v>2</v>
      </c>
      <c r="B65" s="285" t="s">
        <v>1327</v>
      </c>
      <c r="C65" s="286"/>
      <c r="D65" s="287"/>
      <c r="E65" s="287"/>
      <c r="F65" s="287"/>
      <c r="G65" s="287"/>
      <c r="H65" s="287"/>
      <c r="I65" s="287"/>
      <c r="J65" s="287"/>
      <c r="K65" s="287"/>
      <c r="L65" s="287">
        <v>900</v>
      </c>
      <c r="M65" s="287"/>
      <c r="N65" s="287"/>
      <c r="O65" s="292">
        <f t="shared" si="3"/>
        <v>-900</v>
      </c>
    </row>
    <row r="66" spans="1:15" s="84" customFormat="1" ht="26.25" outlineLevel="1" x14ac:dyDescent="0.25">
      <c r="A66" s="284">
        <f t="shared" si="4"/>
        <v>3</v>
      </c>
      <c r="B66" s="285" t="s">
        <v>1331</v>
      </c>
      <c r="C66" s="286">
        <v>1000</v>
      </c>
      <c r="D66" s="287"/>
      <c r="E66" s="287">
        <v>125</v>
      </c>
      <c r="F66" s="287"/>
      <c r="G66" s="287"/>
      <c r="H66" s="287"/>
      <c r="I66" s="287">
        <v>20</v>
      </c>
      <c r="J66" s="287"/>
      <c r="K66" s="287"/>
      <c r="L66" s="287">
        <v>150</v>
      </c>
      <c r="M66" s="287"/>
      <c r="N66" s="287">
        <v>1200</v>
      </c>
      <c r="O66" s="292">
        <f t="shared" si="3"/>
        <v>-370</v>
      </c>
    </row>
    <row r="67" spans="1:15" s="84" customFormat="1" ht="26.25" outlineLevel="1" x14ac:dyDescent="0.25">
      <c r="A67" s="284">
        <f t="shared" si="4"/>
        <v>4</v>
      </c>
      <c r="B67" s="285" t="s">
        <v>1332</v>
      </c>
      <c r="C67" s="286">
        <v>500</v>
      </c>
      <c r="D67" s="287"/>
      <c r="E67" s="287">
        <v>125</v>
      </c>
      <c r="F67" s="287"/>
      <c r="G67" s="287"/>
      <c r="H67" s="287"/>
      <c r="I67" s="287">
        <v>20</v>
      </c>
      <c r="J67" s="287"/>
      <c r="K67" s="287"/>
      <c r="L67" s="287">
        <v>150</v>
      </c>
      <c r="M67" s="287"/>
      <c r="N67" s="287">
        <v>440</v>
      </c>
      <c r="O67" s="292">
        <f t="shared" si="3"/>
        <v>-110</v>
      </c>
    </row>
    <row r="68" spans="1:15" s="84" customFormat="1" ht="39" outlineLevel="1" x14ac:dyDescent="0.25">
      <c r="A68" s="284">
        <f t="shared" si="4"/>
        <v>5</v>
      </c>
      <c r="B68" s="285" t="s">
        <v>1339</v>
      </c>
      <c r="C68" s="286"/>
      <c r="D68" s="287"/>
      <c r="E68" s="287">
        <v>0</v>
      </c>
      <c r="F68" s="287">
        <v>250</v>
      </c>
      <c r="G68" s="287">
        <v>200</v>
      </c>
      <c r="H68" s="287">
        <v>100</v>
      </c>
      <c r="I68" s="287">
        <v>50</v>
      </c>
      <c r="J68" s="287">
        <v>80</v>
      </c>
      <c r="K68" s="287">
        <v>15</v>
      </c>
      <c r="L68" s="287">
        <v>20</v>
      </c>
      <c r="M68" s="287"/>
      <c r="N68" s="287">
        <v>500</v>
      </c>
      <c r="O68" s="292">
        <f t="shared" si="3"/>
        <v>-1215</v>
      </c>
    </row>
    <row r="69" spans="1:15" s="84" customFormat="1" outlineLevel="1" x14ac:dyDescent="0.25">
      <c r="A69" s="284">
        <f t="shared" si="4"/>
        <v>6</v>
      </c>
      <c r="B69" s="285"/>
      <c r="C69" s="286"/>
      <c r="D69" s="287"/>
      <c r="E69" s="287"/>
      <c r="F69" s="287"/>
      <c r="G69" s="287"/>
      <c r="H69" s="287"/>
      <c r="I69" s="287"/>
      <c r="J69" s="287"/>
      <c r="K69" s="287"/>
      <c r="L69" s="287"/>
      <c r="M69" s="287"/>
      <c r="N69" s="287"/>
      <c r="O69" s="292">
        <f t="shared" si="3"/>
        <v>0</v>
      </c>
    </row>
    <row r="70" spans="1:15" s="84" customFormat="1" outlineLevel="1" x14ac:dyDescent="0.25">
      <c r="A70" s="284">
        <f t="shared" si="4"/>
        <v>7</v>
      </c>
      <c r="B70" s="285"/>
      <c r="C70" s="286"/>
      <c r="D70" s="287"/>
      <c r="E70" s="287"/>
      <c r="F70" s="287"/>
      <c r="G70" s="287"/>
      <c r="H70" s="287"/>
      <c r="I70" s="287"/>
      <c r="J70" s="287"/>
      <c r="K70" s="287"/>
      <c r="L70" s="287"/>
      <c r="M70" s="287"/>
      <c r="N70" s="287"/>
      <c r="O70" s="292">
        <f t="shared" si="3"/>
        <v>0</v>
      </c>
    </row>
    <row r="71" spans="1:15" s="84" customFormat="1" outlineLevel="1" x14ac:dyDescent="0.25">
      <c r="A71" s="284">
        <f t="shared" ref="A71:A75" si="5">ROW(A8)</f>
        <v>8</v>
      </c>
      <c r="B71" s="285"/>
      <c r="C71" s="286"/>
      <c r="D71" s="287"/>
      <c r="E71" s="287"/>
      <c r="F71" s="287"/>
      <c r="G71" s="287"/>
      <c r="H71" s="287"/>
      <c r="I71" s="287"/>
      <c r="J71" s="287"/>
      <c r="K71" s="287"/>
      <c r="L71" s="287"/>
      <c r="M71" s="287"/>
      <c r="N71" s="287"/>
      <c r="O71" s="292">
        <f t="shared" si="3"/>
        <v>0</v>
      </c>
    </row>
    <row r="72" spans="1:15" s="84" customFormat="1" outlineLevel="1" x14ac:dyDescent="0.25">
      <c r="A72" s="284">
        <f t="shared" si="5"/>
        <v>9</v>
      </c>
      <c r="B72" s="285"/>
      <c r="C72" s="286"/>
      <c r="D72" s="287"/>
      <c r="E72" s="287"/>
      <c r="F72" s="287"/>
      <c r="G72" s="287"/>
      <c r="H72" s="287"/>
      <c r="I72" s="287"/>
      <c r="J72" s="287"/>
      <c r="K72" s="287"/>
      <c r="L72" s="287"/>
      <c r="M72" s="287"/>
      <c r="N72" s="287"/>
      <c r="O72" s="292">
        <f t="shared" si="3"/>
        <v>0</v>
      </c>
    </row>
    <row r="73" spans="1:15" s="84" customFormat="1" outlineLevel="1" x14ac:dyDescent="0.25">
      <c r="A73" s="284">
        <f t="shared" si="5"/>
        <v>10</v>
      </c>
      <c r="B73" s="285"/>
      <c r="C73" s="286"/>
      <c r="D73" s="287"/>
      <c r="E73" s="287"/>
      <c r="F73" s="287"/>
      <c r="G73" s="287"/>
      <c r="H73" s="287"/>
      <c r="I73" s="287"/>
      <c r="J73" s="287"/>
      <c r="K73" s="287"/>
      <c r="L73" s="287"/>
      <c r="M73" s="287"/>
      <c r="N73" s="287"/>
      <c r="O73" s="292">
        <f t="shared" si="3"/>
        <v>0</v>
      </c>
    </row>
    <row r="74" spans="1:15" s="84" customFormat="1" outlineLevel="1" x14ac:dyDescent="0.25">
      <c r="A74" s="284">
        <f t="shared" si="5"/>
        <v>11</v>
      </c>
      <c r="B74" s="285"/>
      <c r="C74" s="286"/>
      <c r="D74" s="287"/>
      <c r="E74" s="287"/>
      <c r="F74" s="287"/>
      <c r="G74" s="287"/>
      <c r="H74" s="287"/>
      <c r="I74" s="287"/>
      <c r="J74" s="287"/>
      <c r="K74" s="287"/>
      <c r="L74" s="287"/>
      <c r="M74" s="287"/>
      <c r="N74" s="287"/>
      <c r="O74" s="292">
        <f t="shared" si="3"/>
        <v>0</v>
      </c>
    </row>
    <row r="75" spans="1:15" s="84" customFormat="1" ht="15.75" outlineLevel="1" thickBot="1" x14ac:dyDescent="0.3">
      <c r="A75" s="284">
        <f t="shared" si="5"/>
        <v>12</v>
      </c>
      <c r="B75" s="289" t="s">
        <v>629</v>
      </c>
      <c r="C75" s="295">
        <v>0</v>
      </c>
      <c r="D75" s="296">
        <v>0</v>
      </c>
      <c r="E75" s="296">
        <v>500</v>
      </c>
      <c r="F75" s="296">
        <v>500</v>
      </c>
      <c r="G75" s="296">
        <v>300</v>
      </c>
      <c r="H75" s="296">
        <v>200</v>
      </c>
      <c r="I75" s="296">
        <v>100</v>
      </c>
      <c r="J75" s="296">
        <v>100</v>
      </c>
      <c r="K75" s="296">
        <v>500</v>
      </c>
      <c r="L75" s="296">
        <v>500</v>
      </c>
      <c r="M75" s="296">
        <v>200</v>
      </c>
      <c r="N75" s="766">
        <v>500</v>
      </c>
      <c r="O75" s="292">
        <f t="shared" si="3"/>
        <v>-2900</v>
      </c>
    </row>
    <row r="76" spans="1:15" ht="23.25" customHeight="1" thickBot="1" x14ac:dyDescent="0.3">
      <c r="A76" s="109"/>
      <c r="B76" s="110" t="s">
        <v>754</v>
      </c>
      <c r="C76" s="301">
        <f>SUBTOTAL(9,Tabelle513[Teilnahmebeiträge Veranstaltungen])</f>
        <v>1500</v>
      </c>
      <c r="D76" s="425">
        <f>SUBTOTAL(9,Tabelle513[Sonstige Einnahmen])</f>
        <v>0</v>
      </c>
      <c r="E76" s="426">
        <f>SUBTOTAL(9,Tabelle513[Aufwandsentschädigungen])</f>
        <v>750</v>
      </c>
      <c r="F76" s="426">
        <f>SUBTOTAL(9,Tabelle513[Interne Reisekosten])</f>
        <v>750</v>
      </c>
      <c r="G76" s="426">
        <f>SUBTOTAL(9,Tabelle513[Raum + Unterkunft intern])</f>
        <v>500</v>
      </c>
      <c r="H76" s="426">
        <f>SUBTOTAL(9,Tabelle513[Repräsentation/Bewirtung intern])</f>
        <v>300</v>
      </c>
      <c r="I76" s="426">
        <f>SUBTOTAL(9,Tabelle513[Repräsentation/Bewirtung extern])</f>
        <v>190</v>
      </c>
      <c r="J76" s="426">
        <f>SUBTOTAL(9,Tabelle513[Raum + Unterkunft extern])</f>
        <v>180</v>
      </c>
      <c r="K76" s="426">
        <f>SUBTOTAL(9,Tabelle513[Druckkosten])</f>
        <v>515</v>
      </c>
      <c r="L76" s="426">
        <f>SUBTOTAL(9,Tabelle513[Sonstige Kosten])</f>
        <v>1880</v>
      </c>
      <c r="M76" s="426">
        <f>SUBTOTAL(9,Tabelle513[Rechtsangelegenheiten])</f>
        <v>200</v>
      </c>
      <c r="N76" s="426">
        <f>SUBTOTAL(109,Tabelle513[Andere Honorare])</f>
        <v>2640</v>
      </c>
      <c r="O76" s="763">
        <f>SUBTOTAL(9,Tabelle513[Gesamt])</f>
        <v>-5655</v>
      </c>
    </row>
    <row r="77" spans="1:15" ht="18.75" x14ac:dyDescent="0.3">
      <c r="A77" s="11"/>
    </row>
    <row r="78" spans="1:15" ht="15.75" x14ac:dyDescent="0.25">
      <c r="A78" s="7"/>
      <c r="B78" s="7" t="s">
        <v>813</v>
      </c>
      <c r="D78" s="6" t="s">
        <v>797</v>
      </c>
    </row>
    <row r="79" spans="1:15" ht="19.5" thickBot="1" x14ac:dyDescent="0.35">
      <c r="A79" s="11"/>
    </row>
    <row r="80" spans="1:15" ht="16.5" thickTop="1" thickBot="1" x14ac:dyDescent="0.3">
      <c r="A80" s="111"/>
      <c r="B80" s="143"/>
      <c r="C80" s="144"/>
      <c r="D80" s="147" t="s">
        <v>679</v>
      </c>
      <c r="E80" s="112" t="s">
        <v>139</v>
      </c>
      <c r="F80" s="113" t="s">
        <v>247</v>
      </c>
      <c r="G80" s="113" t="s">
        <v>273</v>
      </c>
      <c r="H80" s="113" t="s">
        <v>300</v>
      </c>
      <c r="I80" s="114"/>
    </row>
    <row r="81" spans="1:9" ht="39.75" thickBot="1" x14ac:dyDescent="0.3">
      <c r="A81" s="115" t="s">
        <v>814</v>
      </c>
      <c r="B81" s="115" t="s">
        <v>815</v>
      </c>
      <c r="C81" s="146" t="s">
        <v>816</v>
      </c>
      <c r="D81" s="115" t="s">
        <v>556</v>
      </c>
      <c r="E81" s="414" t="s">
        <v>806</v>
      </c>
      <c r="F81" s="415" t="s">
        <v>667</v>
      </c>
      <c r="G81" s="415" t="s">
        <v>807</v>
      </c>
      <c r="H81" s="415" t="s">
        <v>808</v>
      </c>
      <c r="I81" s="416" t="s">
        <v>630</v>
      </c>
    </row>
    <row r="82" spans="1:9" s="84" customFormat="1" ht="115.5" outlineLevel="1" x14ac:dyDescent="0.25">
      <c r="A82" s="288">
        <f>ROW(A1)</f>
        <v>1</v>
      </c>
      <c r="B82" s="326" t="s">
        <v>1333</v>
      </c>
      <c r="C82" s="101"/>
      <c r="D82" s="101"/>
      <c r="E82" s="422"/>
      <c r="F82" s="317"/>
      <c r="G82" s="317"/>
      <c r="H82" s="317"/>
      <c r="I82" s="312">
        <f>SUM(E82:H82)</f>
        <v>0</v>
      </c>
    </row>
    <row r="83" spans="1:9" s="84" customFormat="1" outlineLevel="1" x14ac:dyDescent="0.25">
      <c r="A83" s="288">
        <f t="shared" ref="A83:A87" si="6">ROW(A2)</f>
        <v>2</v>
      </c>
      <c r="B83" s="748" t="s">
        <v>1334</v>
      </c>
      <c r="C83" s="101"/>
      <c r="D83" s="101" t="s">
        <v>828</v>
      </c>
      <c r="E83" s="127">
        <v>800</v>
      </c>
      <c r="F83" s="128">
        <v>0</v>
      </c>
      <c r="G83" s="128">
        <v>0</v>
      </c>
      <c r="H83" s="128">
        <v>0</v>
      </c>
      <c r="I83" s="292">
        <f t="shared" ref="I83:I90" si="7">SUM(E83:H83)</f>
        <v>800</v>
      </c>
    </row>
    <row r="84" spans="1:9" s="84" customFormat="1" outlineLevel="1" x14ac:dyDescent="0.25">
      <c r="A84" s="288">
        <f t="shared" si="6"/>
        <v>3</v>
      </c>
      <c r="B84" s="748" t="s">
        <v>1335</v>
      </c>
      <c r="C84" s="101" t="s">
        <v>818</v>
      </c>
      <c r="D84" s="101" t="s">
        <v>822</v>
      </c>
      <c r="E84" s="127">
        <v>1800</v>
      </c>
      <c r="F84" s="128">
        <v>1000</v>
      </c>
      <c r="G84" s="128">
        <v>800</v>
      </c>
      <c r="H84" s="128">
        <v>100</v>
      </c>
      <c r="I84" s="292">
        <f t="shared" si="7"/>
        <v>3700</v>
      </c>
    </row>
    <row r="85" spans="1:9" s="84" customFormat="1" ht="51" outlineLevel="1" x14ac:dyDescent="0.25">
      <c r="A85" s="288">
        <f t="shared" si="6"/>
        <v>4</v>
      </c>
      <c r="B85" s="748" t="s">
        <v>1336</v>
      </c>
      <c r="C85" s="101"/>
      <c r="D85" s="101" t="s">
        <v>828</v>
      </c>
      <c r="E85" s="127">
        <v>400</v>
      </c>
      <c r="F85" s="128">
        <v>0</v>
      </c>
      <c r="G85" s="128">
        <v>0</v>
      </c>
      <c r="H85" s="128">
        <v>0</v>
      </c>
      <c r="I85" s="292">
        <f t="shared" si="7"/>
        <v>400</v>
      </c>
    </row>
    <row r="86" spans="1:9" s="84" customFormat="1" outlineLevel="1" x14ac:dyDescent="0.25">
      <c r="A86" s="288">
        <f t="shared" si="6"/>
        <v>5</v>
      </c>
      <c r="B86" s="748" t="s">
        <v>829</v>
      </c>
      <c r="C86" s="101"/>
      <c r="D86" s="101" t="s">
        <v>822</v>
      </c>
      <c r="E86" s="127">
        <v>150</v>
      </c>
      <c r="F86" s="128">
        <v>300</v>
      </c>
      <c r="G86" s="128">
        <v>200</v>
      </c>
      <c r="H86" s="128">
        <v>200</v>
      </c>
      <c r="I86" s="292">
        <f t="shared" si="7"/>
        <v>850</v>
      </c>
    </row>
    <row r="87" spans="1:9" s="84" customFormat="1" outlineLevel="1" x14ac:dyDescent="0.25">
      <c r="A87" s="288">
        <f t="shared" si="6"/>
        <v>6</v>
      </c>
      <c r="B87" s="748" t="s">
        <v>830</v>
      </c>
      <c r="C87" s="101"/>
      <c r="D87" s="101" t="s">
        <v>822</v>
      </c>
      <c r="E87" s="127">
        <v>150</v>
      </c>
      <c r="F87" s="128">
        <v>300</v>
      </c>
      <c r="G87" s="128">
        <v>200</v>
      </c>
      <c r="H87" s="128">
        <v>200</v>
      </c>
      <c r="I87" s="292">
        <f t="shared" si="7"/>
        <v>850</v>
      </c>
    </row>
    <row r="88" spans="1:9" s="84" customFormat="1" ht="51" outlineLevel="1" x14ac:dyDescent="0.25">
      <c r="A88" s="288">
        <f t="shared" ref="A88:A92" si="8">ROW(A7)</f>
        <v>7</v>
      </c>
      <c r="B88" s="748" t="s">
        <v>1337</v>
      </c>
      <c r="C88" s="101" t="s">
        <v>818</v>
      </c>
      <c r="D88" s="101" t="s">
        <v>822</v>
      </c>
      <c r="E88" s="127">
        <v>320</v>
      </c>
      <c r="F88" s="128">
        <v>320</v>
      </c>
      <c r="G88" s="128">
        <v>250</v>
      </c>
      <c r="H88" s="128">
        <v>50</v>
      </c>
      <c r="I88" s="292">
        <f t="shared" si="7"/>
        <v>940</v>
      </c>
    </row>
    <row r="89" spans="1:9" s="84" customFormat="1" ht="51" outlineLevel="1" x14ac:dyDescent="0.25">
      <c r="A89" s="288">
        <f t="shared" si="8"/>
        <v>8</v>
      </c>
      <c r="B89" s="748" t="s">
        <v>1338</v>
      </c>
      <c r="C89" s="101" t="s">
        <v>818</v>
      </c>
      <c r="D89" s="101" t="s">
        <v>822</v>
      </c>
      <c r="E89" s="127">
        <v>400</v>
      </c>
      <c r="F89" s="128">
        <v>400</v>
      </c>
      <c r="G89" s="128">
        <v>520</v>
      </c>
      <c r="H89" s="128">
        <v>250</v>
      </c>
      <c r="I89" s="292">
        <f t="shared" si="7"/>
        <v>1570</v>
      </c>
    </row>
    <row r="90" spans="1:9" s="84" customFormat="1" outlineLevel="1" x14ac:dyDescent="0.25">
      <c r="A90" s="288">
        <f t="shared" si="8"/>
        <v>9</v>
      </c>
      <c r="B90" s="288"/>
      <c r="C90" s="288"/>
      <c r="D90" s="288"/>
      <c r="E90" s="286"/>
      <c r="F90" s="287"/>
      <c r="G90" s="287"/>
      <c r="H90" s="287"/>
      <c r="I90" s="292">
        <f t="shared" si="7"/>
        <v>0</v>
      </c>
    </row>
    <row r="91" spans="1:9" outlineLevel="1" x14ac:dyDescent="0.25">
      <c r="A91" s="101">
        <f t="shared" si="8"/>
        <v>10</v>
      </c>
      <c r="B91" s="116" t="s">
        <v>823</v>
      </c>
      <c r="C91" s="116"/>
      <c r="D91" s="116"/>
      <c r="E91" s="131">
        <f>Tabelle513[[#Totals],[Aufwandsentschädigungen]]</f>
        <v>750</v>
      </c>
      <c r="F91" s="132">
        <f>Tabelle513[[#Totals],[Interne Reisekosten]]</f>
        <v>750</v>
      </c>
      <c r="G91" s="132">
        <f>Tabelle513[[#Totals],[Raum + Unterkunft intern]]</f>
        <v>500</v>
      </c>
      <c r="H91" s="132">
        <f>Tabelle513[[#Totals],[Repräsentation/Bewirtung intern]]</f>
        <v>300</v>
      </c>
      <c r="I91" s="293">
        <f t="shared" ref="I91" si="9">SUM(E91:H91)</f>
        <v>2300</v>
      </c>
    </row>
    <row r="92" spans="1:9" s="84" customFormat="1" ht="15.75" customHeight="1" outlineLevel="1" thickBot="1" x14ac:dyDescent="0.3">
      <c r="A92" s="288">
        <f t="shared" si="8"/>
        <v>11</v>
      </c>
      <c r="B92" s="289" t="s">
        <v>629</v>
      </c>
      <c r="C92" s="289"/>
      <c r="D92" s="289" t="s">
        <v>824</v>
      </c>
      <c r="E92" s="290">
        <v>500</v>
      </c>
      <c r="F92" s="291">
        <v>500</v>
      </c>
      <c r="G92" s="291">
        <v>200</v>
      </c>
      <c r="H92" s="291">
        <v>100</v>
      </c>
      <c r="I92" s="294">
        <f>SUM(E92:H92)</f>
        <v>1300</v>
      </c>
    </row>
    <row r="93" spans="1:9" ht="23.25" customHeight="1" thickBot="1" x14ac:dyDescent="0.3">
      <c r="A93" s="101"/>
      <c r="B93" s="101"/>
      <c r="C93" s="101"/>
      <c r="D93" s="110" t="s">
        <v>754</v>
      </c>
      <c r="E93" s="303">
        <f>SUBTOTAL(9,Tabelle615[Aufwandsentschädigungen])</f>
        <v>5270</v>
      </c>
      <c r="F93" s="426">
        <f>SUBTOTAL(9,Tabelle615[Interne Reisekosten])</f>
        <v>3570</v>
      </c>
      <c r="G93" s="426">
        <f>SUBTOTAL(9,Tabelle615[Raum + Unterkunft intern])</f>
        <v>2670</v>
      </c>
      <c r="H93" s="426">
        <f>SUBTOTAL(9,Tabelle615[Repräsentation/Bewirtung intern])</f>
        <v>1200</v>
      </c>
      <c r="I93" s="764">
        <f>SUBTOTAL(9,Tabelle615[Gesamt])</f>
        <v>12710</v>
      </c>
    </row>
  </sheetData>
  <sheetProtection insertRows="0" insertHyperlinks="0" selectLockedCells="1" sort="0" autoFilter="0" pivotTables="0"/>
  <hyperlinks>
    <hyperlink ref="C58" location="KSW!F5" display="KSW!F5"/>
    <hyperlink ref="D58" location="KSW!F6" display="KSW!F6"/>
    <hyperlink ref="E58" location="KSW!F7" display="KSW!F7"/>
    <hyperlink ref="C76" location="KSW!F6" display="KSW!F6"/>
    <hyperlink ref="D76" location="KSW!F7" display="KSW!F7"/>
    <hyperlink ref="E76" location="KSW!F11" display="KSW!F11"/>
    <hyperlink ref="E93" location="KSW!F11" display="KSW!F11"/>
    <hyperlink ref="F76" location="KSW!F12" display="KSW!F12"/>
    <hyperlink ref="F93" location="KSW!F12" display="KSW!F12"/>
    <hyperlink ref="G76" location="KSW!F13" display="KSW!F13"/>
    <hyperlink ref="G93" location="KSW!F13" display="KSW!F13"/>
    <hyperlink ref="H76" location="KSW!F14" display="KSW!F14"/>
    <hyperlink ref="H93" location="KSW!F14" display="KSW!F14"/>
    <hyperlink ref="F58" location="KSW!F15" display="KSW!F15"/>
    <hyperlink ref="G58" location="KSW!F16" display="KSW!F16"/>
    <hyperlink ref="I76" location="KSW!F18" display="KSW!F18"/>
    <hyperlink ref="J76" location="KSW!F19" display="KSW!F19"/>
    <hyperlink ref="K76" location="KSW!F20" display="KSW!F20"/>
    <hyperlink ref="H58" location="KSW!F17" display="KSW!F17"/>
    <hyperlink ref="I58" location="KSW!F18" display="KSW!F18"/>
    <hyperlink ref="J58" location="KSW!F19" display="KSW!F19"/>
    <hyperlink ref="K58" location="KSW!F20" display="KSW!F20"/>
    <hyperlink ref="L76" location="KSW!F21" display="KSW!F21"/>
    <hyperlink ref="M76" location="KSW!F22" display="KSW!F22"/>
    <hyperlink ref="B11" location="KSW_AE_var" display="AE variabel"/>
    <hyperlink ref="B12" location="KSW_RK_Int." display="Fahrtkosten und Verpflegungspauschalen"/>
    <hyperlink ref="B13" location="KSW_R_U_Int." display="Raum- und Unterkunftskosten"/>
    <hyperlink ref="B14" location="KSW_Bew.Int." display="Bewirtung und Repräsentation intern"/>
    <hyperlink ref="B15" location="KSW_Hon_I" display="Honorare Fachseminare"/>
    <hyperlink ref="B16" location="KSW_Hon_II" display="Andere Honorare"/>
    <hyperlink ref="B17" location="KSW_Ext.RK" display="Ext. Reisekosten"/>
    <hyperlink ref="B18" location="KSW_Bew.Ext." display="Bewirtung und Repräsentation extern"/>
    <hyperlink ref="B19" location="KSW_R_U_Ext." display="Raum- und Unterkunftskosten Seminare und Veranst."/>
    <hyperlink ref="B20" location="KSW_Druck" display="Druckkosten"/>
    <hyperlink ref="B21" location="KSW_Sonst." display="Sonstige Kosten (Lizenzen, Allg. Geschäftsbetrieb)"/>
    <hyperlink ref="B22" location="Rechtsk.FSen" display="Rechtsangelegenheiten"/>
    <hyperlink ref="B7" location="KSW_Sonst_Einnahmen" display="Sonstige Einnahmen (Vorauszahlungen Bewirtung, Werbung, …)"/>
    <hyperlink ref="B6" location="KSW_TN_Beiträge_II" display="Teilnahmebeiträge Veranstaltungen"/>
    <hyperlink ref="B5" location="KSW_TN_Beiträge_I" display="Teilnahmebeiträge Seminare"/>
    <hyperlink ref="F11" location="AEFKKSW_413.21" display="AEFKKSW_413.21"/>
    <hyperlink ref="F12" location="AEFKKSW_527.40" display="AEFKKSW_527.40"/>
    <hyperlink ref="F13" location="AEFKKSW_529.40" display="AEFKKSW_529.40"/>
    <hyperlink ref="F14" location="AEFKKSW_531.40" display="AEFKKSW_531.40"/>
    <hyperlink ref="F15" location="SemKSW_551.10" display="SemKSW_551.10"/>
    <hyperlink ref="F17" location="SemKSW_551.30" display="SemKSW_551.30"/>
    <hyperlink ref="F18" location="SemKSW_551.40" display="SemKSW_551.40"/>
    <hyperlink ref="F19" location="SemKSW_551.50" display="SemKSW_551.50"/>
    <hyperlink ref="F20" location="SemKSW_551.60" display="SemKSW_551.60"/>
    <hyperlink ref="F21" location="MaßnKSW_551.70" display="MaßnKSW_551.70"/>
    <hyperlink ref="F22" location="MaßnKSW_560.70" display="MaßnKSW_560.70"/>
    <hyperlink ref="F5" location="SemKSW_210.10" display="SemKSW_210.10"/>
    <hyperlink ref="F6" location="MaßnKSW_220.10" display="MaßnKSW_220.10"/>
    <hyperlink ref="F7" location="MaßnKSW_230.10" display="MaßnKSW_230.10"/>
  </hyperlinks>
  <pageMargins left="0.7" right="0.7" top="0.78740157499999996" bottom="0.78740157499999996" header="0.3" footer="0.3"/>
  <pageSetup paperSize="9" orientation="landscape" verticalDpi="0" r:id="rId1"/>
  <legacyDrawing r:id="rId2"/>
  <tableParts count="4">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O85"/>
  <sheetViews>
    <sheetView showGridLines="0" topLeftCell="B31" zoomScale="96" zoomScaleNormal="96" workbookViewId="0">
      <selection activeCell="D38" sqref="D38"/>
    </sheetView>
  </sheetViews>
  <sheetFormatPr baseColWidth="10" defaultColWidth="11.42578125" defaultRowHeight="15" outlineLevelRow="1" x14ac:dyDescent="0.25"/>
  <cols>
    <col min="1" max="1" width="10.28515625" customWidth="1"/>
    <col min="2" max="2" width="29.28515625" customWidth="1"/>
    <col min="3" max="3" width="16.42578125" customWidth="1"/>
    <col min="4" max="4" width="15.85546875" customWidth="1"/>
    <col min="5" max="5" width="16" customWidth="1"/>
    <col min="6" max="6" width="14" customWidth="1"/>
    <col min="7" max="7" width="12.85546875" customWidth="1"/>
    <col min="8" max="8" width="13.28515625" customWidth="1"/>
    <col min="9" max="9" width="12.140625" customWidth="1"/>
    <col min="10" max="10" width="13.5703125" customWidth="1"/>
    <col min="11" max="11" width="12" customWidth="1"/>
    <col min="15" max="15" width="14" customWidth="1"/>
  </cols>
  <sheetData>
    <row r="1" spans="1:10" ht="18.75" x14ac:dyDescent="0.3">
      <c r="A1" s="11"/>
      <c r="B1" s="7" t="s">
        <v>831</v>
      </c>
    </row>
    <row r="2" spans="1:10" ht="19.5" customHeight="1" thickBot="1" x14ac:dyDescent="0.3"/>
    <row r="3" spans="1:10" s="257" customFormat="1" ht="34.5" customHeight="1" thickBot="1" x14ac:dyDescent="0.3">
      <c r="A3" s="258" t="s">
        <v>2</v>
      </c>
      <c r="B3" s="424" t="s">
        <v>5</v>
      </c>
      <c r="C3" s="399" t="s">
        <v>775</v>
      </c>
      <c r="D3" s="400" t="s">
        <v>776</v>
      </c>
      <c r="E3" s="401" t="s">
        <v>826</v>
      </c>
      <c r="F3" s="401" t="s">
        <v>778</v>
      </c>
      <c r="G3" s="253" t="s">
        <v>779</v>
      </c>
      <c r="H3" s="255" t="s">
        <v>8</v>
      </c>
      <c r="I3" s="256" t="s">
        <v>780</v>
      </c>
      <c r="J3" s="401" t="s">
        <v>781</v>
      </c>
    </row>
    <row r="4" spans="1:10" ht="18.75" customHeight="1" x14ac:dyDescent="0.25">
      <c r="A4" s="185" t="s">
        <v>782</v>
      </c>
      <c r="B4" s="186"/>
      <c r="C4" s="186"/>
      <c r="D4" s="186"/>
      <c r="E4" s="402"/>
      <c r="F4" s="209"/>
      <c r="G4" s="188"/>
      <c r="H4" s="189"/>
      <c r="I4" s="53"/>
      <c r="J4" s="83"/>
    </row>
    <row r="5" spans="1:10" x14ac:dyDescent="0.25">
      <c r="A5" s="190" t="s">
        <v>76</v>
      </c>
      <c r="B5" s="232" t="s">
        <v>673</v>
      </c>
      <c r="C5" s="149"/>
      <c r="D5" s="149"/>
      <c r="E5" s="282">
        <v>29222</v>
      </c>
      <c r="F5" s="173">
        <f>Tabelle41023[[#Totals],[Teilnahmebeiträge Fachseminare]]</f>
        <v>29222</v>
      </c>
      <c r="G5" s="171">
        <v>24000</v>
      </c>
      <c r="H5" s="149"/>
      <c r="I5" s="191"/>
      <c r="J5" s="149"/>
    </row>
    <row r="6" spans="1:10" x14ac:dyDescent="0.25">
      <c r="A6" s="190" t="s">
        <v>88</v>
      </c>
      <c r="B6" s="232" t="s">
        <v>674</v>
      </c>
      <c r="C6" s="149"/>
      <c r="D6" s="149"/>
      <c r="E6" s="282">
        <v>0</v>
      </c>
      <c r="F6" s="173">
        <f>Tabelle41023[[#Totals],[Teilnahmebeiträge Veranstaltungen]]+Tabelle51324[[#Totals],[Teilnahmebeiträge Veranstaltungen]]</f>
        <v>0</v>
      </c>
      <c r="G6" s="171">
        <v>0</v>
      </c>
      <c r="H6" s="149"/>
      <c r="I6" s="191"/>
      <c r="J6" s="149"/>
    </row>
    <row r="7" spans="1:10" ht="15.75" thickBot="1" x14ac:dyDescent="0.3">
      <c r="A7" s="190" t="s">
        <v>95</v>
      </c>
      <c r="B7" s="232" t="s">
        <v>783</v>
      </c>
      <c r="C7" s="149"/>
      <c r="D7" s="149"/>
      <c r="E7" s="282">
        <v>0</v>
      </c>
      <c r="F7" s="173">
        <f>Tabelle41023[[#Totals],[Sonstige Einnahmen]]+Tabelle51324[[#Totals],[Sonstige Einnahmen]]</f>
        <v>0</v>
      </c>
      <c r="G7" s="171">
        <v>0</v>
      </c>
      <c r="H7" s="149"/>
      <c r="I7" s="191"/>
      <c r="J7" s="149"/>
    </row>
    <row r="8" spans="1:10" ht="15.75" thickBot="1" x14ac:dyDescent="0.3">
      <c r="A8" s="192"/>
      <c r="B8" s="193"/>
      <c r="C8" s="193"/>
      <c r="D8" s="193" t="s">
        <v>579</v>
      </c>
      <c r="E8" s="210">
        <f>SUBTOTAL(9,E5:E7)</f>
        <v>29222</v>
      </c>
      <c r="F8" s="175">
        <f>SUBTOTAL(9,F5:F7)</f>
        <v>29222</v>
      </c>
      <c r="G8" s="174">
        <f>SUBTOTAL(9,G5:G7)</f>
        <v>24000</v>
      </c>
      <c r="H8" s="403"/>
      <c r="I8" s="194"/>
      <c r="J8" s="404"/>
    </row>
    <row r="9" spans="1:10" ht="18.75" customHeight="1" x14ac:dyDescent="0.25">
      <c r="A9" s="195" t="s">
        <v>122</v>
      </c>
      <c r="B9" s="196"/>
      <c r="C9" s="196"/>
      <c r="D9" s="196"/>
      <c r="E9" s="211"/>
      <c r="F9" s="177"/>
      <c r="G9" s="176"/>
      <c r="H9" s="196"/>
      <c r="I9" s="197"/>
      <c r="J9" s="149"/>
    </row>
    <row r="10" spans="1:10" x14ac:dyDescent="0.25">
      <c r="A10" s="198" t="s">
        <v>137</v>
      </c>
      <c r="B10" s="149" t="s">
        <v>784</v>
      </c>
      <c r="C10" s="149"/>
      <c r="D10" s="149"/>
      <c r="E10" s="282">
        <v>9600</v>
      </c>
      <c r="F10" s="179">
        <f>800*12</f>
        <v>9600</v>
      </c>
      <c r="G10" s="178">
        <f>800*12</f>
        <v>9600</v>
      </c>
      <c r="H10" s="149"/>
      <c r="I10" s="191"/>
      <c r="J10" s="149"/>
    </row>
    <row r="11" spans="1:10" x14ac:dyDescent="0.25">
      <c r="A11" s="198" t="s">
        <v>144</v>
      </c>
      <c r="B11" s="232" t="s">
        <v>785</v>
      </c>
      <c r="C11" s="149"/>
      <c r="D11" s="149"/>
      <c r="E11" s="282">
        <v>4500</v>
      </c>
      <c r="F11" s="173">
        <f>Tabelle61525[[#Totals],[Aufwandsentschädigungen]]</f>
        <v>4500</v>
      </c>
      <c r="G11" s="171">
        <v>2400</v>
      </c>
      <c r="H11" s="149"/>
      <c r="I11" s="191"/>
      <c r="J11" s="149"/>
    </row>
    <row r="12" spans="1:10" x14ac:dyDescent="0.25">
      <c r="A12" s="198" t="s">
        <v>1263</v>
      </c>
      <c r="B12" s="232" t="s">
        <v>787</v>
      </c>
      <c r="C12" s="149"/>
      <c r="D12" s="149"/>
      <c r="E12" s="282">
        <v>2600</v>
      </c>
      <c r="F12" s="173">
        <f>Tabelle61525[[#Totals],[Interne Reisekosten]]</f>
        <v>2600</v>
      </c>
      <c r="G12" s="171">
        <v>1500</v>
      </c>
      <c r="H12" s="149"/>
      <c r="I12" s="191"/>
      <c r="J12" s="149"/>
    </row>
    <row r="13" spans="1:10" ht="15" customHeight="1" x14ac:dyDescent="0.25">
      <c r="A13" s="198" t="s">
        <v>280</v>
      </c>
      <c r="B13" s="232" t="s">
        <v>788</v>
      </c>
      <c r="C13" s="199"/>
      <c r="D13" s="199"/>
      <c r="E13" s="297">
        <v>1600</v>
      </c>
      <c r="F13" s="200">
        <f>Tabelle61525[[#Totals],[Raum + Unterkunft intern]]</f>
        <v>1600</v>
      </c>
      <c r="G13" s="171">
        <v>500</v>
      </c>
      <c r="H13" s="199"/>
      <c r="I13" s="201"/>
      <c r="J13" s="149"/>
    </row>
    <row r="14" spans="1:10" x14ac:dyDescent="0.25">
      <c r="A14" s="198" t="s">
        <v>304</v>
      </c>
      <c r="B14" s="234" t="s">
        <v>789</v>
      </c>
      <c r="C14" s="83"/>
      <c r="D14" s="83"/>
      <c r="E14" s="298">
        <v>400</v>
      </c>
      <c r="F14" s="170">
        <f>Tabelle61525[[#Totals],[Repräsentation/Bewirtung intern]]</f>
        <v>400</v>
      </c>
      <c r="G14" s="171">
        <v>500</v>
      </c>
      <c r="H14" s="83"/>
      <c r="I14" s="202"/>
      <c r="J14" s="83"/>
    </row>
    <row r="15" spans="1:10" x14ac:dyDescent="0.25">
      <c r="A15" s="745" t="s">
        <v>352</v>
      </c>
      <c r="B15" s="232" t="s">
        <v>790</v>
      </c>
      <c r="C15" s="149"/>
      <c r="D15" s="149"/>
      <c r="E15" s="282">
        <v>24540</v>
      </c>
      <c r="F15" s="173">
        <f>Tabelle41023[[#Totals],[Honorare Dozierende Fachseminare]]</f>
        <v>24540</v>
      </c>
      <c r="G15" s="739">
        <v>22000</v>
      </c>
      <c r="H15" s="149"/>
      <c r="I15" s="191"/>
      <c r="J15" s="149"/>
    </row>
    <row r="16" spans="1:10" x14ac:dyDescent="0.25">
      <c r="A16" s="745" t="s">
        <v>363</v>
      </c>
      <c r="B16" s="233" t="s">
        <v>329</v>
      </c>
      <c r="C16" s="741"/>
      <c r="D16" s="741"/>
      <c r="E16" s="751">
        <v>2000</v>
      </c>
      <c r="F16" s="746">
        <f>Tabelle51324[[#Totals],[Andere Honorare]]</f>
        <v>2000</v>
      </c>
      <c r="G16" s="739">
        <v>0</v>
      </c>
      <c r="H16" s="741"/>
      <c r="I16" s="742"/>
      <c r="J16" s="741"/>
    </row>
    <row r="17" spans="1:11" x14ac:dyDescent="0.25">
      <c r="A17" s="745" t="s">
        <v>372</v>
      </c>
      <c r="B17" s="233" t="s">
        <v>791</v>
      </c>
      <c r="C17" s="741"/>
      <c r="D17" s="741"/>
      <c r="E17" s="751">
        <v>100</v>
      </c>
      <c r="F17" s="746">
        <f>Tabelle41023[[#Totals],[Externe Reisekosten]]</f>
        <v>100</v>
      </c>
      <c r="G17" s="739">
        <v>1000</v>
      </c>
      <c r="H17" s="741"/>
      <c r="I17" s="742"/>
      <c r="J17" s="741"/>
    </row>
    <row r="18" spans="1:11" x14ac:dyDescent="0.25">
      <c r="A18" s="745" t="s">
        <v>381</v>
      </c>
      <c r="B18" s="233" t="s">
        <v>376</v>
      </c>
      <c r="C18" s="741"/>
      <c r="D18" s="741"/>
      <c r="E18" s="751">
        <v>500</v>
      </c>
      <c r="F18" s="746">
        <f>Tabelle41023[[#Totals],[Repräsentation/Bewirtung extern]]+Tabelle51324[[#Totals],[Repräsentation/Bewirtung extern]]</f>
        <v>500</v>
      </c>
      <c r="G18" s="739">
        <v>200</v>
      </c>
      <c r="H18" s="741"/>
      <c r="I18" s="742"/>
      <c r="J18" s="741"/>
    </row>
    <row r="19" spans="1:11" x14ac:dyDescent="0.25">
      <c r="A19" s="745" t="s">
        <v>393</v>
      </c>
      <c r="B19" s="233" t="s">
        <v>792</v>
      </c>
      <c r="C19" s="741"/>
      <c r="D19" s="741"/>
      <c r="E19" s="751">
        <v>600</v>
      </c>
      <c r="F19" s="746">
        <f>Tabelle41023[[#Totals],[Raum + Unterkunft extern]]+Tabelle51324[[#Totals],[Raum + Unterkunft extern]]</f>
        <v>600</v>
      </c>
      <c r="G19" s="739">
        <v>2000</v>
      </c>
      <c r="H19" s="741"/>
      <c r="I19" s="742"/>
      <c r="J19" s="741"/>
    </row>
    <row r="20" spans="1:11" x14ac:dyDescent="0.25">
      <c r="A20" s="745" t="s">
        <v>403</v>
      </c>
      <c r="B20" s="233" t="s">
        <v>1297</v>
      </c>
      <c r="C20" s="741"/>
      <c r="D20" s="741"/>
      <c r="E20" s="751">
        <v>2620</v>
      </c>
      <c r="F20" s="746">
        <f>Tabelle41023[[#Totals],[Verwaltungs- und Druckkosten]]+Tabelle51324[[#Totals],[Druckkosten]]</f>
        <v>2620</v>
      </c>
      <c r="G20" s="739">
        <v>0</v>
      </c>
      <c r="H20" s="741"/>
      <c r="I20" s="742"/>
      <c r="J20" s="741"/>
    </row>
    <row r="21" spans="1:11" x14ac:dyDescent="0.25">
      <c r="A21" s="198" t="s">
        <v>416</v>
      </c>
      <c r="B21" s="234" t="s">
        <v>410</v>
      </c>
      <c r="C21" s="83"/>
      <c r="D21" s="83"/>
      <c r="E21" s="298">
        <v>1000</v>
      </c>
      <c r="F21" s="170">
        <f>Tabelle51324[[#Totals],[Sonstige Kosten]]</f>
        <v>1000</v>
      </c>
      <c r="G21" s="171">
        <v>1000</v>
      </c>
      <c r="H21" s="83"/>
      <c r="I21" s="202"/>
      <c r="J21" s="83"/>
    </row>
    <row r="22" spans="1:11" ht="15.75" thickBot="1" x14ac:dyDescent="0.3">
      <c r="A22" s="198" t="s">
        <v>440</v>
      </c>
      <c r="B22" s="234" t="s">
        <v>715</v>
      </c>
      <c r="C22" s="83"/>
      <c r="D22" s="83"/>
      <c r="E22" s="299">
        <v>500</v>
      </c>
      <c r="F22" s="203">
        <f>Tabelle51324[[#Totals],[Rechtsangelegenheiten]]</f>
        <v>500</v>
      </c>
      <c r="G22" s="182">
        <v>500</v>
      </c>
      <c r="H22" s="83"/>
      <c r="I22" s="202"/>
      <c r="J22" s="83"/>
    </row>
    <row r="23" spans="1:11" ht="15.75" thickBot="1" x14ac:dyDescent="0.3">
      <c r="A23" s="204"/>
      <c r="B23" s="205"/>
      <c r="C23" s="205"/>
      <c r="D23" s="206" t="s">
        <v>579</v>
      </c>
      <c r="E23" s="212">
        <f t="shared" ref="E23:F23" si="0">SUBTOTAL(109,E10:E22)</f>
        <v>50560</v>
      </c>
      <c r="F23" s="184">
        <f t="shared" si="0"/>
        <v>50560</v>
      </c>
      <c r="G23" s="184">
        <f>SUBTOTAL(109,G10:G22)</f>
        <v>41200</v>
      </c>
      <c r="H23" s="405"/>
      <c r="I23" s="207"/>
      <c r="J23" s="406"/>
    </row>
    <row r="24" spans="1:11" ht="15.75" thickBot="1" x14ac:dyDescent="0.3">
      <c r="A24" s="81"/>
      <c r="B24" s="83"/>
      <c r="C24" s="83"/>
      <c r="D24" s="83"/>
      <c r="E24" s="83"/>
      <c r="F24" s="83"/>
      <c r="G24" s="83"/>
      <c r="H24" s="83"/>
    </row>
    <row r="25" spans="1:11" ht="15.75" thickBot="1" x14ac:dyDescent="0.3">
      <c r="A25" s="81"/>
      <c r="B25" s="83"/>
      <c r="C25" s="83"/>
      <c r="D25" s="213" t="s">
        <v>793</v>
      </c>
      <c r="E25" s="214">
        <f>E8-Tabelle182226[[#Totals],[Freie Eingabe Plan 22-23]]</f>
        <v>-21338</v>
      </c>
      <c r="F25" s="407">
        <f>F8-Tabelle182226[[#Totals],[Rechnung HHJ 22-23]]</f>
        <v>-21338</v>
      </c>
      <c r="G25" s="407">
        <f>G8-Tabelle182226[[#Totals],[Freie Eingabe Plan HHJ 21-22]]</f>
        <v>-17200</v>
      </c>
      <c r="H25" s="407"/>
      <c r="I25" s="407"/>
      <c r="J25" s="407"/>
      <c r="K25" s="407"/>
    </row>
    <row r="26" spans="1:11" x14ac:dyDescent="0.25">
      <c r="A26" s="80"/>
      <c r="B26" s="79"/>
      <c r="C26" s="79"/>
      <c r="D26" s="79"/>
      <c r="E26" s="79"/>
      <c r="F26" s="79"/>
      <c r="G26" s="79"/>
      <c r="H26" s="79"/>
    </row>
    <row r="27" spans="1:11" ht="15.75" x14ac:dyDescent="0.25">
      <c r="B27" s="117" t="s">
        <v>794</v>
      </c>
      <c r="C27" s="79"/>
      <c r="D27" s="79"/>
      <c r="E27" s="91"/>
      <c r="F27" s="79"/>
      <c r="G27" s="79"/>
      <c r="H27" s="79"/>
    </row>
    <row r="28" spans="1:11" ht="15.75" x14ac:dyDescent="0.25">
      <c r="B28" s="80" t="s">
        <v>795</v>
      </c>
      <c r="C28" s="79"/>
      <c r="D28" s="79"/>
      <c r="E28" s="91"/>
      <c r="F28" s="79"/>
      <c r="G28" s="79"/>
      <c r="H28" s="79"/>
    </row>
    <row r="29" spans="1:11" x14ac:dyDescent="0.25">
      <c r="B29" s="80" t="s">
        <v>796</v>
      </c>
      <c r="C29" s="83"/>
      <c r="D29" s="83"/>
      <c r="E29" s="92"/>
      <c r="F29" s="83"/>
      <c r="G29" s="83"/>
      <c r="H29" s="83"/>
    </row>
    <row r="30" spans="1:11" x14ac:dyDescent="0.25">
      <c r="A30" s="81"/>
      <c r="B30" s="83"/>
      <c r="C30" s="83"/>
      <c r="D30" s="83"/>
      <c r="E30" s="92"/>
      <c r="F30" s="83"/>
      <c r="G30" s="83"/>
      <c r="H30" s="83"/>
    </row>
    <row r="31" spans="1:11" x14ac:dyDescent="0.25">
      <c r="A31" s="80"/>
      <c r="B31" s="79"/>
      <c r="C31" s="79"/>
      <c r="D31" s="79"/>
      <c r="E31" s="79"/>
      <c r="F31" s="79"/>
      <c r="G31" s="79"/>
      <c r="H31" s="79"/>
    </row>
    <row r="32" spans="1:11" ht="15.75" x14ac:dyDescent="0.25">
      <c r="A32" s="7"/>
      <c r="B32" s="7" t="s">
        <v>1299</v>
      </c>
      <c r="D32" s="6" t="s">
        <v>797</v>
      </c>
    </row>
    <row r="33" spans="1:15" ht="16.5" thickBot="1" x14ac:dyDescent="0.3">
      <c r="A33" s="7"/>
    </row>
    <row r="34" spans="1:15" ht="15.75" thickBot="1" x14ac:dyDescent="0.3">
      <c r="A34" s="408"/>
      <c r="B34" s="409" t="s">
        <v>679</v>
      </c>
      <c r="C34" s="410" t="s">
        <v>76</v>
      </c>
      <c r="D34" s="411" t="s">
        <v>88</v>
      </c>
      <c r="E34" s="411" t="s">
        <v>95</v>
      </c>
      <c r="F34" s="412" t="s">
        <v>352</v>
      </c>
      <c r="G34" s="412"/>
      <c r="H34" s="412" t="s">
        <v>372</v>
      </c>
      <c r="I34" s="412" t="s">
        <v>381</v>
      </c>
      <c r="J34" s="412" t="s">
        <v>393</v>
      </c>
      <c r="K34" s="412" t="s">
        <v>403</v>
      </c>
      <c r="L34" s="413"/>
    </row>
    <row r="35" spans="1:15" ht="39.75" thickBot="1" x14ac:dyDescent="0.3">
      <c r="A35" s="98" t="s">
        <v>798</v>
      </c>
      <c r="B35" s="142" t="s">
        <v>799</v>
      </c>
      <c r="C35" s="414" t="s">
        <v>800</v>
      </c>
      <c r="D35" s="415" t="s">
        <v>674</v>
      </c>
      <c r="E35" s="415" t="s">
        <v>801</v>
      </c>
      <c r="F35" s="415" t="s">
        <v>326</v>
      </c>
      <c r="G35" s="415" t="s">
        <v>806</v>
      </c>
      <c r="H35" s="415" t="s">
        <v>333</v>
      </c>
      <c r="I35" s="415" t="s">
        <v>802</v>
      </c>
      <c r="J35" s="415" t="s">
        <v>803</v>
      </c>
      <c r="K35" s="415" t="s">
        <v>1290</v>
      </c>
      <c r="L35" s="416" t="s">
        <v>630</v>
      </c>
    </row>
    <row r="36" spans="1:15" s="84" customFormat="1" ht="330" outlineLevel="1" x14ac:dyDescent="0.25">
      <c r="A36" s="93">
        <f t="shared" ref="A36" si="1">ROW(A1)</f>
        <v>1</v>
      </c>
      <c r="B36" s="804" t="s">
        <v>1345</v>
      </c>
      <c r="C36" s="118"/>
      <c r="D36" s="320"/>
      <c r="E36" s="320"/>
      <c r="F36" s="320"/>
      <c r="G36" s="320"/>
      <c r="H36" s="320"/>
      <c r="I36" s="320"/>
      <c r="J36" s="320"/>
      <c r="K36" s="320"/>
      <c r="L36" s="325">
        <f>SUM(C36:E36)-SUM(F36:K36)</f>
        <v>0</v>
      </c>
      <c r="N36" s="748" t="s">
        <v>1362</v>
      </c>
    </row>
    <row r="37" spans="1:15" s="84" customFormat="1" ht="120" outlineLevel="1" x14ac:dyDescent="0.25">
      <c r="A37" s="93">
        <f t="shared" ref="A37:A42" si="2">ROW(A2)</f>
        <v>2</v>
      </c>
      <c r="B37" s="736" t="s">
        <v>1348</v>
      </c>
      <c r="C37" s="118">
        <v>5388</v>
      </c>
      <c r="D37" s="807"/>
      <c r="E37" s="807"/>
      <c r="F37" s="807">
        <f>765*6</f>
        <v>4590</v>
      </c>
      <c r="G37" s="807">
        <f t="shared" ref="G37:G38" si="3">43*6</f>
        <v>258</v>
      </c>
      <c r="H37" s="807"/>
      <c r="I37" s="807"/>
      <c r="J37" s="807"/>
      <c r="K37" s="807">
        <f>270*2</f>
        <v>540</v>
      </c>
      <c r="L37" s="120">
        <f t="shared" ref="L37:L42" si="4">SUM(C37:E37)-SUM(F37:K37)</f>
        <v>0</v>
      </c>
    </row>
    <row r="38" spans="1:15" s="84" customFormat="1" ht="150" outlineLevel="1" x14ac:dyDescent="0.25">
      <c r="A38" s="93">
        <f t="shared" si="2"/>
        <v>3</v>
      </c>
      <c r="B38" s="736" t="s">
        <v>1347</v>
      </c>
      <c r="C38" s="118">
        <v>5388</v>
      </c>
      <c r="D38" s="119"/>
      <c r="E38" s="805"/>
      <c r="F38" s="806">
        <f>765*6</f>
        <v>4590</v>
      </c>
      <c r="G38" s="119">
        <f t="shared" si="3"/>
        <v>258</v>
      </c>
      <c r="H38" s="119"/>
      <c r="I38" s="119"/>
      <c r="J38" s="119"/>
      <c r="K38" s="119">
        <v>540</v>
      </c>
      <c r="L38" s="120">
        <f t="shared" si="4"/>
        <v>0</v>
      </c>
    </row>
    <row r="39" spans="1:15" s="84" customFormat="1" ht="135" outlineLevel="1" x14ac:dyDescent="0.25">
      <c r="A39" s="93">
        <f t="shared" si="2"/>
        <v>4</v>
      </c>
      <c r="B39" s="736" t="s">
        <v>1346</v>
      </c>
      <c r="C39" s="118">
        <v>2492</v>
      </c>
      <c r="D39" s="807"/>
      <c r="E39" s="807"/>
      <c r="F39" s="807">
        <f>540*4</f>
        <v>2160</v>
      </c>
      <c r="G39" s="807">
        <f>43*4</f>
        <v>172</v>
      </c>
      <c r="H39" s="119"/>
      <c r="I39" s="119"/>
      <c r="J39" s="119"/>
      <c r="K39" s="119">
        <v>160</v>
      </c>
      <c r="L39" s="120">
        <f t="shared" si="4"/>
        <v>0</v>
      </c>
    </row>
    <row r="40" spans="1:15" s="84" customFormat="1" ht="120" outlineLevel="1" x14ac:dyDescent="0.25">
      <c r="A40" s="93">
        <f t="shared" si="2"/>
        <v>5</v>
      </c>
      <c r="B40" s="736" t="s">
        <v>1349</v>
      </c>
      <c r="C40" s="118">
        <v>8264</v>
      </c>
      <c r="D40" s="807"/>
      <c r="E40" s="807"/>
      <c r="F40" s="807">
        <f>900*8</f>
        <v>7200</v>
      </c>
      <c r="G40" s="807">
        <f>43*8</f>
        <v>344</v>
      </c>
      <c r="H40" s="119"/>
      <c r="I40" s="119"/>
      <c r="J40" s="119"/>
      <c r="K40" s="119">
        <v>720</v>
      </c>
      <c r="L40" s="120">
        <f t="shared" si="4"/>
        <v>0</v>
      </c>
    </row>
    <row r="41" spans="1:15" s="84" customFormat="1" ht="150" outlineLevel="1" x14ac:dyDescent="0.25">
      <c r="A41" s="93">
        <f t="shared" si="2"/>
        <v>6</v>
      </c>
      <c r="B41" s="736" t="s">
        <v>1350</v>
      </c>
      <c r="C41" s="118">
        <v>4132</v>
      </c>
      <c r="D41" s="119"/>
      <c r="E41" s="807"/>
      <c r="F41" s="808">
        <f>900*4</f>
        <v>3600</v>
      </c>
      <c r="G41" s="119">
        <f>43*4</f>
        <v>172</v>
      </c>
      <c r="H41" s="119"/>
      <c r="I41" s="119"/>
      <c r="J41" s="119"/>
      <c r="K41" s="119">
        <v>360</v>
      </c>
      <c r="L41" s="120">
        <f t="shared" si="4"/>
        <v>0</v>
      </c>
    </row>
    <row r="42" spans="1:15" s="84" customFormat="1" outlineLevel="1" x14ac:dyDescent="0.25">
      <c r="A42" s="93">
        <f t="shared" si="2"/>
        <v>7</v>
      </c>
      <c r="B42" s="85" t="s">
        <v>629</v>
      </c>
      <c r="C42" s="121">
        <v>3558</v>
      </c>
      <c r="D42" s="122">
        <v>0</v>
      </c>
      <c r="E42" s="122">
        <v>0</v>
      </c>
      <c r="F42" s="122">
        <v>2400</v>
      </c>
      <c r="G42" s="122">
        <v>258</v>
      </c>
      <c r="H42" s="122">
        <v>100</v>
      </c>
      <c r="I42" s="122">
        <v>200</v>
      </c>
      <c r="J42" s="122">
        <v>500</v>
      </c>
      <c r="K42" s="122">
        <v>100</v>
      </c>
      <c r="L42" s="120">
        <f t="shared" si="4"/>
        <v>0</v>
      </c>
    </row>
    <row r="43" spans="1:15" s="84" customFormat="1" ht="15.75" outlineLevel="1" thickBot="1" x14ac:dyDescent="0.3">
      <c r="A43" s="93"/>
      <c r="C43" s="124"/>
      <c r="D43" s="119"/>
      <c r="E43" s="119"/>
      <c r="F43" s="125"/>
      <c r="G43" s="119"/>
      <c r="H43" s="119"/>
      <c r="I43" s="119"/>
      <c r="J43" s="119"/>
      <c r="K43" s="119"/>
      <c r="L43" s="126"/>
    </row>
    <row r="44" spans="1:15" s="101" customFormat="1" ht="20.25" customHeight="1" thickBot="1" x14ac:dyDescent="0.3">
      <c r="A44" s="99"/>
      <c r="B44" s="100" t="s">
        <v>754</v>
      </c>
      <c r="C44" s="301">
        <f>SUBTOTAL(9,Tabelle41023[Teilnahmebeiträge Fachseminare])</f>
        <v>29222</v>
      </c>
      <c r="D44" s="425">
        <f>SUBTOTAL(9,Tabelle41023[Teilnahmebeiträge Veranstaltungen])</f>
        <v>0</v>
      </c>
      <c r="E44" s="425">
        <f>SUBTOTAL(9,Tabelle41023[Sonstige Einnahmen])</f>
        <v>0</v>
      </c>
      <c r="F44" s="426">
        <f>SUBTOTAL(9,Tabelle41023[Honorare Dozierende Fachseminare])</f>
        <v>24540</v>
      </c>
      <c r="G44" s="426">
        <f>SUBTOTAL(9,Tabelle41023[Aufwandsentschädigungen])</f>
        <v>1462</v>
      </c>
      <c r="H44" s="426">
        <f>SUBTOTAL(9,Tabelle41023[Externe Reisekosten])</f>
        <v>100</v>
      </c>
      <c r="I44" s="426">
        <f>SUBTOTAL(9,Tabelle41023[Repräsentation/Bewirtung extern])</f>
        <v>200</v>
      </c>
      <c r="J44" s="426">
        <f>SUBTOTAL(9,Tabelle41023[Raum + Unterkunft extern])</f>
        <v>500</v>
      </c>
      <c r="K44" s="426">
        <f>SUBTOTAL(9,Tabelle41023[Verwaltungs- und Druckkosten])</f>
        <v>2420</v>
      </c>
      <c r="L44" s="756">
        <f>SUBTOTAL(9,Tabelle41023[Gesamt])</f>
        <v>0</v>
      </c>
    </row>
    <row r="45" spans="1:15" ht="15" customHeight="1" x14ac:dyDescent="0.3">
      <c r="A45" s="11"/>
    </row>
    <row r="46" spans="1:15" s="78" customFormat="1" ht="15.75" x14ac:dyDescent="0.25">
      <c r="A46" s="7"/>
      <c r="B46" s="7" t="s">
        <v>804</v>
      </c>
      <c r="D46" s="6" t="s">
        <v>797</v>
      </c>
    </row>
    <row r="47" spans="1:15" ht="15.75" customHeight="1" thickBot="1" x14ac:dyDescent="0.35">
      <c r="A47" s="11"/>
    </row>
    <row r="48" spans="1:15" ht="15.75" thickBot="1" x14ac:dyDescent="0.3">
      <c r="A48" s="103"/>
      <c r="B48" s="145" t="s">
        <v>679</v>
      </c>
      <c r="C48" s="94" t="s">
        <v>86</v>
      </c>
      <c r="D48" s="95" t="s">
        <v>93</v>
      </c>
      <c r="E48" s="96" t="s">
        <v>144</v>
      </c>
      <c r="F48" s="96" t="s">
        <v>251</v>
      </c>
      <c r="G48" s="96" t="s">
        <v>280</v>
      </c>
      <c r="H48" s="96" t="s">
        <v>304</v>
      </c>
      <c r="I48" s="96" t="s">
        <v>381</v>
      </c>
      <c r="J48" s="96" t="s">
        <v>393</v>
      </c>
      <c r="K48" s="96" t="s">
        <v>403</v>
      </c>
      <c r="L48" s="96" t="s">
        <v>416</v>
      </c>
      <c r="M48" s="96" t="s">
        <v>440</v>
      </c>
      <c r="N48" s="743" t="s">
        <v>363</v>
      </c>
      <c r="O48" s="97"/>
    </row>
    <row r="49" spans="1:15" ht="39.75" thickBot="1" x14ac:dyDescent="0.3">
      <c r="A49" s="104" t="s">
        <v>798</v>
      </c>
      <c r="B49" s="102" t="s">
        <v>805</v>
      </c>
      <c r="C49" s="105" t="s">
        <v>674</v>
      </c>
      <c r="D49" s="102" t="s">
        <v>801</v>
      </c>
      <c r="E49" s="102" t="s">
        <v>806</v>
      </c>
      <c r="F49" s="102" t="s">
        <v>667</v>
      </c>
      <c r="G49" s="102" t="s">
        <v>807</v>
      </c>
      <c r="H49" s="102" t="s">
        <v>808</v>
      </c>
      <c r="I49" s="102" t="s">
        <v>802</v>
      </c>
      <c r="J49" s="102" t="s">
        <v>803</v>
      </c>
      <c r="K49" s="102" t="s">
        <v>342</v>
      </c>
      <c r="L49" s="102" t="s">
        <v>321</v>
      </c>
      <c r="M49" s="102" t="s">
        <v>715</v>
      </c>
      <c r="N49" s="102" t="s">
        <v>329</v>
      </c>
      <c r="O49" s="106" t="s">
        <v>630</v>
      </c>
    </row>
    <row r="50" spans="1:15" s="84" customFormat="1" outlineLevel="1" x14ac:dyDescent="0.25">
      <c r="A50" s="284">
        <f t="shared" ref="A50:A61" si="5">ROW(A1)</f>
        <v>1</v>
      </c>
      <c r="B50" s="285" t="s">
        <v>832</v>
      </c>
      <c r="C50" s="420"/>
      <c r="D50" s="421"/>
      <c r="E50" s="421"/>
      <c r="F50" s="421"/>
      <c r="G50" s="421"/>
      <c r="H50" s="421"/>
      <c r="I50" s="421"/>
      <c r="J50" s="421"/>
      <c r="K50" s="421"/>
      <c r="L50" s="421">
        <v>500</v>
      </c>
      <c r="M50" s="421">
        <v>0</v>
      </c>
      <c r="N50" s="421"/>
      <c r="O50" s="312">
        <f>(C50+D50)-(F50+G50+I50+K50+145+M50)</f>
        <v>-145</v>
      </c>
    </row>
    <row r="51" spans="1:15" s="84" customFormat="1" outlineLevel="1" x14ac:dyDescent="0.25">
      <c r="A51" s="284">
        <f t="shared" si="5"/>
        <v>2</v>
      </c>
      <c r="B51" s="285"/>
      <c r="C51" s="286"/>
      <c r="D51" s="287"/>
      <c r="E51" s="287"/>
      <c r="F51" s="287"/>
      <c r="G51" s="287"/>
      <c r="H51" s="287"/>
      <c r="I51" s="287"/>
      <c r="J51" s="287"/>
      <c r="K51" s="287"/>
      <c r="L51" s="287"/>
      <c r="M51" s="287">
        <v>0</v>
      </c>
      <c r="N51" s="287"/>
      <c r="O51" s="292">
        <f>(C51+D51)-(F51+G51+I51+K51+L50+M51)</f>
        <v>-500</v>
      </c>
    </row>
    <row r="52" spans="1:15" s="84" customFormat="1" outlineLevel="1" x14ac:dyDescent="0.25">
      <c r="A52" s="284">
        <f t="shared" si="5"/>
        <v>3</v>
      </c>
      <c r="B52" s="285"/>
      <c r="C52" s="286"/>
      <c r="D52" s="287"/>
      <c r="E52" s="287"/>
      <c r="F52" s="287"/>
      <c r="G52" s="287"/>
      <c r="H52" s="287"/>
      <c r="I52" s="287"/>
      <c r="J52" s="287"/>
      <c r="K52" s="287"/>
      <c r="L52" s="287"/>
      <c r="M52" s="287">
        <v>0</v>
      </c>
      <c r="N52" s="287"/>
      <c r="O52" s="292">
        <f>(C52+D52)-(F52+G52+I52+K52+L52+M52)</f>
        <v>0</v>
      </c>
    </row>
    <row r="53" spans="1:15" s="84" customFormat="1" outlineLevel="1" x14ac:dyDescent="0.25">
      <c r="A53" s="284">
        <f t="shared" si="5"/>
        <v>4</v>
      </c>
      <c r="B53" s="285"/>
      <c r="C53" s="286"/>
      <c r="D53" s="287"/>
      <c r="E53" s="287"/>
      <c r="F53" s="287"/>
      <c r="G53" s="287"/>
      <c r="H53" s="287"/>
      <c r="I53" s="287"/>
      <c r="J53" s="287"/>
      <c r="K53" s="287"/>
      <c r="L53" s="287"/>
      <c r="M53" s="287"/>
      <c r="N53" s="287"/>
      <c r="O53" s="292"/>
    </row>
    <row r="54" spans="1:15" s="84" customFormat="1" outlineLevel="1" x14ac:dyDescent="0.25">
      <c r="A54" s="284">
        <f t="shared" si="5"/>
        <v>5</v>
      </c>
      <c r="B54" s="285"/>
      <c r="C54" s="286"/>
      <c r="D54" s="287"/>
      <c r="E54" s="287"/>
      <c r="F54" s="287"/>
      <c r="G54" s="287"/>
      <c r="H54" s="287"/>
      <c r="I54" s="287"/>
      <c r="J54" s="287"/>
      <c r="K54" s="287"/>
      <c r="L54" s="287"/>
      <c r="M54" s="287"/>
      <c r="N54" s="287"/>
      <c r="O54" s="292"/>
    </row>
    <row r="55" spans="1:15" s="84" customFormat="1" outlineLevel="1" x14ac:dyDescent="0.25">
      <c r="A55" s="284">
        <f t="shared" si="5"/>
        <v>6</v>
      </c>
      <c r="B55" s="285"/>
      <c r="C55" s="286"/>
      <c r="D55" s="287"/>
      <c r="E55" s="287"/>
      <c r="F55" s="287"/>
      <c r="G55" s="287"/>
      <c r="H55" s="287"/>
      <c r="I55" s="287"/>
      <c r="J55" s="287"/>
      <c r="K55" s="287"/>
      <c r="L55" s="287"/>
      <c r="M55" s="287"/>
      <c r="N55" s="287"/>
      <c r="O55" s="292"/>
    </row>
    <row r="56" spans="1:15" s="84" customFormat="1" outlineLevel="1" x14ac:dyDescent="0.25">
      <c r="A56" s="284">
        <f t="shared" si="5"/>
        <v>7</v>
      </c>
      <c r="B56" s="285"/>
      <c r="C56" s="286"/>
      <c r="D56" s="287"/>
      <c r="E56" s="287"/>
      <c r="F56" s="287"/>
      <c r="G56" s="287"/>
      <c r="H56" s="287"/>
      <c r="I56" s="287"/>
      <c r="J56" s="287"/>
      <c r="K56" s="287"/>
      <c r="L56" s="287"/>
      <c r="M56" s="287"/>
      <c r="N56" s="287"/>
      <c r="O56" s="292"/>
    </row>
    <row r="57" spans="1:15" s="84" customFormat="1" outlineLevel="1" x14ac:dyDescent="0.25">
      <c r="A57" s="284">
        <f t="shared" si="5"/>
        <v>8</v>
      </c>
      <c r="B57" s="285"/>
      <c r="C57" s="286"/>
      <c r="D57" s="287"/>
      <c r="E57" s="287"/>
      <c r="F57" s="287"/>
      <c r="G57" s="287"/>
      <c r="H57" s="287"/>
      <c r="I57" s="287"/>
      <c r="J57" s="287"/>
      <c r="K57" s="287"/>
      <c r="L57" s="287"/>
      <c r="M57" s="287"/>
      <c r="N57" s="287"/>
      <c r="O57" s="292"/>
    </row>
    <row r="58" spans="1:15" s="84" customFormat="1" outlineLevel="1" x14ac:dyDescent="0.25">
      <c r="A58" s="284">
        <f t="shared" si="5"/>
        <v>9</v>
      </c>
      <c r="B58" s="285"/>
      <c r="C58" s="286"/>
      <c r="D58" s="287"/>
      <c r="E58" s="287"/>
      <c r="F58" s="287"/>
      <c r="G58" s="287"/>
      <c r="H58" s="287"/>
      <c r="I58" s="287"/>
      <c r="J58" s="287"/>
      <c r="K58" s="287"/>
      <c r="L58" s="287"/>
      <c r="M58" s="287"/>
      <c r="N58" s="287"/>
      <c r="O58" s="292"/>
    </row>
    <row r="59" spans="1:15" s="84" customFormat="1" outlineLevel="1" x14ac:dyDescent="0.25">
      <c r="A59" s="284">
        <f t="shared" si="5"/>
        <v>10</v>
      </c>
      <c r="B59" s="285"/>
      <c r="C59" s="286"/>
      <c r="D59" s="287"/>
      <c r="E59" s="287"/>
      <c r="F59" s="287"/>
      <c r="G59" s="287"/>
      <c r="H59" s="287"/>
      <c r="I59" s="287"/>
      <c r="J59" s="287"/>
      <c r="K59" s="287"/>
      <c r="L59" s="287"/>
      <c r="M59" s="287"/>
      <c r="N59" s="287"/>
      <c r="O59" s="292"/>
    </row>
    <row r="60" spans="1:15" s="84" customFormat="1" outlineLevel="1" x14ac:dyDescent="0.25">
      <c r="A60" s="284">
        <f t="shared" si="5"/>
        <v>11</v>
      </c>
      <c r="B60" s="285"/>
      <c r="C60" s="286"/>
      <c r="D60" s="287"/>
      <c r="E60" s="287"/>
      <c r="F60" s="287"/>
      <c r="G60" s="287"/>
      <c r="H60" s="287"/>
      <c r="I60" s="287"/>
      <c r="J60" s="287"/>
      <c r="K60" s="287"/>
      <c r="L60" s="287"/>
      <c r="M60" s="287"/>
      <c r="N60" s="287"/>
      <c r="O60" s="292"/>
    </row>
    <row r="61" spans="1:15" s="84" customFormat="1" ht="15.75" outlineLevel="1" thickBot="1" x14ac:dyDescent="0.3">
      <c r="A61" s="284">
        <f t="shared" si="5"/>
        <v>12</v>
      </c>
      <c r="B61" s="289" t="s">
        <v>629</v>
      </c>
      <c r="C61" s="295">
        <v>0</v>
      </c>
      <c r="D61" s="296">
        <v>0</v>
      </c>
      <c r="E61" s="130">
        <v>500</v>
      </c>
      <c r="F61" s="130">
        <v>300</v>
      </c>
      <c r="G61" s="130">
        <v>200</v>
      </c>
      <c r="H61" s="130">
        <v>200</v>
      </c>
      <c r="I61" s="130">
        <v>300</v>
      </c>
      <c r="J61" s="130">
        <v>100</v>
      </c>
      <c r="K61" s="130">
        <v>200</v>
      </c>
      <c r="L61" s="130">
        <v>500</v>
      </c>
      <c r="M61" s="130">
        <v>500</v>
      </c>
      <c r="N61" s="744">
        <v>2000</v>
      </c>
      <c r="O61" s="744">
        <v>2000</v>
      </c>
    </row>
    <row r="62" spans="1:15" ht="23.25" customHeight="1" thickBot="1" x14ac:dyDescent="0.3">
      <c r="A62" s="109"/>
      <c r="B62" s="110" t="s">
        <v>754</v>
      </c>
      <c r="C62" s="301">
        <f>SUBTOTAL(9,Tabelle51324[Teilnahmebeiträge Veranstaltungen])</f>
        <v>0</v>
      </c>
      <c r="D62" s="425">
        <f>SUBTOTAL(9,Tabelle51324[Sonstige Einnahmen])</f>
        <v>0</v>
      </c>
      <c r="E62" s="426">
        <f>SUBTOTAL(9,Tabelle51324[Aufwandsentschädigungen])</f>
        <v>500</v>
      </c>
      <c r="F62" s="426">
        <f>SUBTOTAL(9,Tabelle51324[Interne Reisekosten])</f>
        <v>300</v>
      </c>
      <c r="G62" s="426">
        <f>SUBTOTAL(9,Tabelle51324[Raum + Unterkunft intern])</f>
        <v>200</v>
      </c>
      <c r="H62" s="426">
        <f>SUBTOTAL(9,Tabelle51324[Repräsentation/Bewirtung intern])</f>
        <v>200</v>
      </c>
      <c r="I62" s="426">
        <f>SUBTOTAL(9,Tabelle51324[Repräsentation/Bewirtung extern])</f>
        <v>300</v>
      </c>
      <c r="J62" s="426">
        <f>SUBTOTAL(9,Tabelle51324[Raum + Unterkunft extern])</f>
        <v>100</v>
      </c>
      <c r="K62" s="426">
        <f>SUBTOTAL(9,Tabelle51324[Druckkosten])</f>
        <v>200</v>
      </c>
      <c r="L62" s="426">
        <f>SUBTOTAL(9,Tabelle51324[Sonstige Kosten])</f>
        <v>1000</v>
      </c>
      <c r="M62" s="426">
        <f>SUBTOTAL(9,Tabelle51324[Rechtsangelegenheiten])</f>
        <v>500</v>
      </c>
      <c r="N62" s="426">
        <f>SUBTOTAL(109,Tabelle51324[Andere Honorare])</f>
        <v>2000</v>
      </c>
      <c r="O62" s="763">
        <f>SUBTOTAL(9,Tabelle51324[Gesamt])</f>
        <v>1355</v>
      </c>
    </row>
    <row r="63" spans="1:15" ht="18.75" x14ac:dyDescent="0.3">
      <c r="A63" s="11"/>
    </row>
    <row r="64" spans="1:15" ht="15.75" x14ac:dyDescent="0.25">
      <c r="A64" s="7"/>
      <c r="B64" s="7" t="s">
        <v>813</v>
      </c>
      <c r="D64" s="6" t="s">
        <v>797</v>
      </c>
    </row>
    <row r="65" spans="1:9" ht="19.5" thickBot="1" x14ac:dyDescent="0.35">
      <c r="A65" s="11"/>
    </row>
    <row r="66" spans="1:9" ht="16.5" thickTop="1" thickBot="1" x14ac:dyDescent="0.3">
      <c r="A66" s="111"/>
      <c r="B66" s="143"/>
      <c r="C66" s="144"/>
      <c r="D66" s="147" t="s">
        <v>679</v>
      </c>
      <c r="E66" s="112" t="s">
        <v>139</v>
      </c>
      <c r="F66" s="113" t="s">
        <v>247</v>
      </c>
      <c r="G66" s="113" t="s">
        <v>273</v>
      </c>
      <c r="H66" s="113" t="s">
        <v>300</v>
      </c>
      <c r="I66" s="114"/>
    </row>
    <row r="67" spans="1:9" ht="39.75" thickBot="1" x14ac:dyDescent="0.3">
      <c r="A67" s="115" t="s">
        <v>814</v>
      </c>
      <c r="B67" s="115" t="s">
        <v>815</v>
      </c>
      <c r="C67" s="146" t="s">
        <v>816</v>
      </c>
      <c r="D67" s="115" t="s">
        <v>556</v>
      </c>
      <c r="E67" s="414" t="s">
        <v>806</v>
      </c>
      <c r="F67" s="415" t="s">
        <v>667</v>
      </c>
      <c r="G67" s="415" t="s">
        <v>807</v>
      </c>
      <c r="H67" s="415" t="s">
        <v>808</v>
      </c>
      <c r="I67" s="416" t="s">
        <v>630</v>
      </c>
    </row>
    <row r="68" spans="1:9" s="84" customFormat="1" ht="51.75" outlineLevel="1" x14ac:dyDescent="0.25">
      <c r="A68" s="288">
        <f t="shared" ref="A68:A84" si="6">ROW(A1)</f>
        <v>1</v>
      </c>
      <c r="B68" s="326" t="s">
        <v>1319</v>
      </c>
      <c r="C68" s="101"/>
      <c r="D68" s="326" t="s">
        <v>828</v>
      </c>
      <c r="E68" s="422"/>
      <c r="F68" s="317"/>
      <c r="G68" s="317"/>
      <c r="H68" s="317"/>
      <c r="I68" s="312">
        <f>SUM(E68:H68)</f>
        <v>0</v>
      </c>
    </row>
    <row r="69" spans="1:9" s="84" customFormat="1" outlineLevel="1" x14ac:dyDescent="0.25">
      <c r="A69" s="288">
        <f t="shared" si="6"/>
        <v>2</v>
      </c>
      <c r="B69" s="285" t="s">
        <v>827</v>
      </c>
      <c r="C69" s="288"/>
      <c r="D69" s="288" t="s">
        <v>828</v>
      </c>
      <c r="E69" s="286">
        <f>5*20+2*40</f>
        <v>180</v>
      </c>
      <c r="F69" s="809">
        <v>0</v>
      </c>
      <c r="G69" s="809">
        <v>0</v>
      </c>
      <c r="H69" s="809">
        <v>0</v>
      </c>
      <c r="I69" s="292">
        <f>SUM(E69:H69)</f>
        <v>180</v>
      </c>
    </row>
    <row r="70" spans="1:9" s="84" customFormat="1" outlineLevel="1" x14ac:dyDescent="0.25">
      <c r="A70" s="288">
        <f t="shared" si="6"/>
        <v>3</v>
      </c>
      <c r="B70" s="285" t="s">
        <v>827</v>
      </c>
      <c r="C70" s="288"/>
      <c r="D70" s="288" t="s">
        <v>828</v>
      </c>
      <c r="E70" s="286">
        <f>5*20+2*40</f>
        <v>180</v>
      </c>
      <c r="F70" s="287">
        <v>0</v>
      </c>
      <c r="G70" s="287">
        <v>0</v>
      </c>
      <c r="H70" s="287">
        <v>0</v>
      </c>
      <c r="I70" s="292">
        <f>SUM(E70:H70)</f>
        <v>180</v>
      </c>
    </row>
    <row r="71" spans="1:9" s="84" customFormat="1" ht="39" outlineLevel="1" x14ac:dyDescent="0.25">
      <c r="A71" s="288">
        <f t="shared" si="6"/>
        <v>4</v>
      </c>
      <c r="B71" s="304" t="s">
        <v>833</v>
      </c>
      <c r="C71" s="288"/>
      <c r="D71" s="288" t="s">
        <v>828</v>
      </c>
      <c r="E71" s="286">
        <v>400</v>
      </c>
      <c r="F71" s="287">
        <v>0</v>
      </c>
      <c r="G71" s="287">
        <v>0</v>
      </c>
      <c r="H71" s="287">
        <v>0</v>
      </c>
      <c r="I71" s="292">
        <f>SUM(E71:H71)</f>
        <v>400</v>
      </c>
    </row>
    <row r="72" spans="1:9" s="84" customFormat="1" outlineLevel="1" x14ac:dyDescent="0.25">
      <c r="A72" s="288">
        <f t="shared" si="6"/>
        <v>5</v>
      </c>
      <c r="B72" s="285" t="s">
        <v>827</v>
      </c>
      <c r="C72" s="288"/>
      <c r="D72" s="288" t="s">
        <v>828</v>
      </c>
      <c r="E72" s="286">
        <f>5*20+2*40</f>
        <v>180</v>
      </c>
      <c r="F72" s="287">
        <v>0</v>
      </c>
      <c r="G72" s="287">
        <v>0</v>
      </c>
      <c r="H72" s="287">
        <v>0</v>
      </c>
      <c r="I72" s="292">
        <f t="shared" ref="I72:I75" si="7">SUM(E72:H72)</f>
        <v>180</v>
      </c>
    </row>
    <row r="73" spans="1:9" s="84" customFormat="1" outlineLevel="1" x14ac:dyDescent="0.25">
      <c r="A73" s="288">
        <f t="shared" si="6"/>
        <v>6</v>
      </c>
      <c r="B73" s="285" t="s">
        <v>827</v>
      </c>
      <c r="C73" s="288"/>
      <c r="D73" s="288" t="s">
        <v>828</v>
      </c>
      <c r="E73" s="286">
        <f>5*20+2*40</f>
        <v>180</v>
      </c>
      <c r="F73" s="287">
        <v>0</v>
      </c>
      <c r="G73" s="287"/>
      <c r="H73" s="287">
        <v>0</v>
      </c>
      <c r="I73" s="292">
        <f t="shared" si="7"/>
        <v>180</v>
      </c>
    </row>
    <row r="74" spans="1:9" s="84" customFormat="1" outlineLevel="1" x14ac:dyDescent="0.25">
      <c r="A74" s="288">
        <f t="shared" si="6"/>
        <v>7</v>
      </c>
      <c r="B74" s="285" t="s">
        <v>827</v>
      </c>
      <c r="C74" s="288"/>
      <c r="D74" s="288" t="s">
        <v>822</v>
      </c>
      <c r="E74" s="286">
        <v>700</v>
      </c>
      <c r="F74" s="287">
        <v>800</v>
      </c>
      <c r="G74" s="287">
        <v>300</v>
      </c>
      <c r="H74" s="287">
        <v>50</v>
      </c>
      <c r="I74" s="292">
        <f t="shared" si="7"/>
        <v>1850</v>
      </c>
    </row>
    <row r="75" spans="1:9" s="84" customFormat="1" outlineLevel="1" x14ac:dyDescent="0.25">
      <c r="A75" s="288">
        <f t="shared" si="6"/>
        <v>8</v>
      </c>
      <c r="B75" s="285" t="s">
        <v>827</v>
      </c>
      <c r="C75" s="288"/>
      <c r="D75" s="288" t="s">
        <v>828</v>
      </c>
      <c r="E75" s="286">
        <f>5*20+2*40</f>
        <v>180</v>
      </c>
      <c r="F75" s="287"/>
      <c r="G75" s="287"/>
      <c r="H75" s="287"/>
      <c r="I75" s="292">
        <f t="shared" si="7"/>
        <v>180</v>
      </c>
    </row>
    <row r="76" spans="1:9" s="84" customFormat="1" outlineLevel="1" x14ac:dyDescent="0.25">
      <c r="A76" s="288">
        <f t="shared" si="6"/>
        <v>9</v>
      </c>
      <c r="B76" s="285" t="s">
        <v>834</v>
      </c>
      <c r="C76" s="288"/>
      <c r="D76" s="288" t="s">
        <v>822</v>
      </c>
      <c r="E76" s="286">
        <v>1000</v>
      </c>
      <c r="F76" s="287">
        <v>500</v>
      </c>
      <c r="G76" s="287">
        <v>600</v>
      </c>
      <c r="H76" s="287">
        <v>100</v>
      </c>
      <c r="I76" s="292"/>
    </row>
    <row r="77" spans="1:9" s="84" customFormat="1" outlineLevel="1" x14ac:dyDescent="0.25">
      <c r="A77" s="288">
        <f t="shared" si="6"/>
        <v>10</v>
      </c>
      <c r="B77" s="285"/>
      <c r="C77" s="288"/>
      <c r="D77" s="288"/>
      <c r="E77" s="286"/>
      <c r="F77" s="287"/>
      <c r="G77" s="287"/>
      <c r="H77" s="287"/>
      <c r="I77" s="292"/>
    </row>
    <row r="78" spans="1:9" s="84" customFormat="1" outlineLevel="1" x14ac:dyDescent="0.25">
      <c r="A78" s="288">
        <f t="shared" si="6"/>
        <v>11</v>
      </c>
      <c r="B78" s="285"/>
      <c r="C78" s="288"/>
      <c r="D78" s="288"/>
      <c r="E78" s="286"/>
      <c r="F78" s="287"/>
      <c r="G78" s="287"/>
      <c r="H78" s="287"/>
      <c r="I78" s="292"/>
    </row>
    <row r="79" spans="1:9" s="84" customFormat="1" outlineLevel="1" x14ac:dyDescent="0.25">
      <c r="A79" s="288">
        <f t="shared" si="6"/>
        <v>12</v>
      </c>
      <c r="B79" s="285"/>
      <c r="C79" s="288"/>
      <c r="D79" s="288"/>
      <c r="E79" s="286"/>
      <c r="F79" s="287"/>
      <c r="G79" s="287"/>
      <c r="H79" s="287"/>
      <c r="I79" s="292"/>
    </row>
    <row r="80" spans="1:9" s="84" customFormat="1" outlineLevel="1" x14ac:dyDescent="0.25">
      <c r="A80" s="288">
        <f t="shared" si="6"/>
        <v>13</v>
      </c>
      <c r="B80" s="285"/>
      <c r="C80" s="288"/>
      <c r="D80" s="288"/>
      <c r="E80" s="286"/>
      <c r="F80" s="287"/>
      <c r="G80" s="287"/>
      <c r="H80" s="287"/>
      <c r="I80" s="292"/>
    </row>
    <row r="81" spans="1:9" s="84" customFormat="1" outlineLevel="1" x14ac:dyDescent="0.25">
      <c r="A81" s="288">
        <f t="shared" si="6"/>
        <v>14</v>
      </c>
      <c r="B81" s="285"/>
      <c r="C81" s="288"/>
      <c r="D81" s="288"/>
      <c r="E81" s="286"/>
      <c r="F81" s="287"/>
      <c r="G81" s="287"/>
      <c r="H81" s="287"/>
      <c r="I81" s="292">
        <f>SUM(E81:H81)</f>
        <v>0</v>
      </c>
    </row>
    <row r="82" spans="1:9" s="84" customFormat="1" outlineLevel="1" x14ac:dyDescent="0.25">
      <c r="A82" s="288">
        <f t="shared" si="6"/>
        <v>15</v>
      </c>
      <c r="B82" s="285"/>
      <c r="C82" s="288"/>
      <c r="D82" s="288"/>
      <c r="E82" s="286"/>
      <c r="F82" s="287"/>
      <c r="G82" s="287"/>
      <c r="H82" s="287"/>
      <c r="I82" s="292">
        <f t="shared" ref="I82:I83" si="8">SUM(E82:H82)</f>
        <v>0</v>
      </c>
    </row>
    <row r="83" spans="1:9" outlineLevel="1" x14ac:dyDescent="0.25">
      <c r="A83" s="101">
        <f t="shared" si="6"/>
        <v>16</v>
      </c>
      <c r="B83" s="116" t="s">
        <v>823</v>
      </c>
      <c r="C83" s="116"/>
      <c r="D83" s="116"/>
      <c r="E83" s="131">
        <f>Tabelle51324[[#Totals],[Aufwandsentschädigungen]]</f>
        <v>500</v>
      </c>
      <c r="F83" s="132">
        <f>Tabelle51324[[#Totals],[Interne Reisekosten]]</f>
        <v>300</v>
      </c>
      <c r="G83" s="132">
        <f>Tabelle51324[[#Totals],[Raum + Unterkunft intern]]</f>
        <v>200</v>
      </c>
      <c r="H83" s="132">
        <f>Tabelle51324[[#Totals],[Repräsentation/Bewirtung intern]]</f>
        <v>200</v>
      </c>
      <c r="I83" s="293">
        <f t="shared" si="8"/>
        <v>1200</v>
      </c>
    </row>
    <row r="84" spans="1:9" s="84" customFormat="1" ht="15.75" customHeight="1" outlineLevel="1" thickBot="1" x14ac:dyDescent="0.3">
      <c r="A84" s="288">
        <f t="shared" si="6"/>
        <v>17</v>
      </c>
      <c r="B84" s="289" t="s">
        <v>629</v>
      </c>
      <c r="C84" s="289"/>
      <c r="D84" s="289" t="s">
        <v>824</v>
      </c>
      <c r="E84" s="290">
        <v>1000</v>
      </c>
      <c r="F84" s="291">
        <v>1000</v>
      </c>
      <c r="G84" s="291">
        <v>500</v>
      </c>
      <c r="H84" s="291">
        <v>50</v>
      </c>
      <c r="I84" s="294">
        <f>SUM(E84:H84)</f>
        <v>2550</v>
      </c>
    </row>
    <row r="85" spans="1:9" ht="23.25" customHeight="1" thickBot="1" x14ac:dyDescent="0.3">
      <c r="A85" s="101"/>
      <c r="B85" s="101"/>
      <c r="C85" s="101"/>
      <c r="D85" s="110" t="s">
        <v>754</v>
      </c>
      <c r="E85" s="303">
        <f>SUBTOTAL(9,Tabelle61525[Aufwandsentschädigungen])</f>
        <v>4500</v>
      </c>
      <c r="F85" s="426">
        <f>SUBTOTAL(9,Tabelle61525[Interne Reisekosten])</f>
        <v>2600</v>
      </c>
      <c r="G85" s="426">
        <f>SUBTOTAL(9,Tabelle61525[Raum + Unterkunft intern])</f>
        <v>1600</v>
      </c>
      <c r="H85" s="426">
        <f>SUBTOTAL(9,Tabelle61525[Repräsentation/Bewirtung intern])</f>
        <v>400</v>
      </c>
      <c r="I85" s="764">
        <f>SUBTOTAL(9,Tabelle61525[Gesamt])</f>
        <v>6900</v>
      </c>
    </row>
  </sheetData>
  <sheetProtection insertRows="0" insertHyperlinks="0" selectLockedCells="1" sort="0" autoFilter="0" pivotTables="0"/>
  <hyperlinks>
    <hyperlink ref="B5" location="Psy_TN_Beiträge_I" display="Teilnahmebeiträge Seminare"/>
    <hyperlink ref="B6" location="Psy_TN_Beiträge_II" display="Teilnahmebeiträge Veranstaltungen"/>
    <hyperlink ref="B7" location="Psy_Sonst_Einnahmen" display="Sonstige Einnahmen (Vorauszahlungen Bewirtung, Werbung, …)"/>
    <hyperlink ref="B22" location="Rechtsk.FSen" display="Rechtsangelegenheiten"/>
    <hyperlink ref="B21" location="Psy_Sonst." display="Sonstige Kosten (Lizenzen, Allg. Geschäftsbetrieb)"/>
    <hyperlink ref="B20" location="Psy_Druck" display="Druckkosten"/>
    <hyperlink ref="B19" location="Psy_R_U_Ext." display="Raum- und Unterkunftskosten Seminare und Veranst."/>
    <hyperlink ref="B18" location="Psy_Bew.Ext." display="Bewirtung und Repräsentation extern"/>
    <hyperlink ref="B17" location="Psy_Ext.RK" display="Ext. Reisekosten"/>
    <hyperlink ref="B16" location="Psy_Hon_II" display="Andere Honorare"/>
    <hyperlink ref="B15" location="PSY_Hon_I" display="Honorare Fachseminare"/>
    <hyperlink ref="B14" location="Psy_Bew.Int." display="Bewirtung und Repräsentation intern"/>
    <hyperlink ref="B13" location="Psy_R_U_Int." display="Raum- und Unterkunftskosten"/>
    <hyperlink ref="B12" location="Psy_RK_Int." display="Fahrtkosten und Verpflegungspauschalen"/>
    <hyperlink ref="B11" location="Psy_AE_var" display="AE variabel"/>
    <hyperlink ref="M62" location="PSY!F22" display="PSY!F22"/>
    <hyperlink ref="L62" location="PSY!F21" display="PSY!F21"/>
    <hyperlink ref="K44" location="PSY!F20" display="PSY!F20"/>
    <hyperlink ref="J44" location="PSY!F19" display="PSY!F19"/>
    <hyperlink ref="I44" location="PSY!F18" display="PSY!F18"/>
    <hyperlink ref="H44" location="PSY!F17" display="PSY!F17"/>
    <hyperlink ref="K62" location="PSY!F20" display="PSY!F20"/>
    <hyperlink ref="J62" location="PSY!F19" display="PSY!F19"/>
    <hyperlink ref="I62" location="PSY!F18" display="PSY!F18"/>
    <hyperlink ref="G44" location="PSY!F16" display="PSY!F16"/>
    <hyperlink ref="F44" location="PSY!F15" display="PSY!F15"/>
    <hyperlink ref="H85" location="PSY!F14" display="PSY!F14"/>
    <hyperlink ref="H62" location="PSY!F14" display="PSY!F14"/>
    <hyperlink ref="G85" location="PSY!F13" display="PSY!F13"/>
    <hyperlink ref="G62" location="PSY!F13" display="PSY!F13"/>
    <hyperlink ref="F85" location="PSY!F12" display="PSY!F12"/>
    <hyperlink ref="F62" location="PSY!F12" display="PSY!F12"/>
    <hyperlink ref="E85" location="PSY!F11" display="PSY!F11"/>
    <hyperlink ref="E62" location="PSY!F11" display="PSY!F11"/>
    <hyperlink ref="D62" location="PSY!F7" display="PSY!F7"/>
    <hyperlink ref="C62" location="PSY!F6" display="PSY!F6"/>
    <hyperlink ref="E44" location="PSY!F7" display="PSY!F7"/>
    <hyperlink ref="D44" location="PSY!F6" display="PSY!F6"/>
    <hyperlink ref="C44" location="PSY!F5" display="PSY!F5"/>
    <hyperlink ref="F7" location="MaßnPSY_230.10" display="MaßnPSY_230.10"/>
    <hyperlink ref="F6" location="MaßnPSY_220.10" display="MaßnPSY_220.10"/>
    <hyperlink ref="F5" location="SemPSY_210.10" display="SemPSY_210.10"/>
    <hyperlink ref="F22" location="MaßnPSY_560.70" display="MaßnPSY_560.70"/>
    <hyperlink ref="F21" location="MaßnPSY_551.70" display="MaßnPSY_551.70"/>
    <hyperlink ref="F20" location="MaßnPSY_551.60" display="MaßnPSY_551.60"/>
    <hyperlink ref="F19" location="SemPSY_551.50" display="SemPSY_551.50"/>
    <hyperlink ref="F18" location="SemPSY_551.40" display="SemPSY_551.40"/>
    <hyperlink ref="F17" location="SemPSY_551.30" display="SemPSY_551.30"/>
    <hyperlink ref="F16" location="SemPSY_551.20" display="SemPSY_551.20"/>
    <hyperlink ref="F15" location="SemPSY_551.10" display="SemPSY_551.10"/>
    <hyperlink ref="F14" location="AEFKPSY_531.40" display="AEFKPSY_531.40"/>
    <hyperlink ref="F13" location="AEFKPSY_529.40" display="AEFKPSY_529.40"/>
    <hyperlink ref="F12" location="AEFKPSY_527.40" display="AEFKPSY_527.40"/>
    <hyperlink ref="F11" location="AEFKPSY_413.21" display="AEFKPSY_413.21"/>
  </hyperlinks>
  <pageMargins left="0.7" right="0.7" top="0.78740157499999996" bottom="0.78740157499999996" header="0.3" footer="0.3"/>
  <pageSetup paperSize="9" orientation="landscape" verticalDpi="0" r:id="rId1"/>
  <legacyDrawing r:id="rId2"/>
  <tableParts count="4">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O89"/>
  <sheetViews>
    <sheetView showGridLines="0" topLeftCell="C1" zoomScale="96" zoomScaleNormal="96" workbookViewId="0">
      <selection activeCell="E7" sqref="E7"/>
    </sheetView>
  </sheetViews>
  <sheetFormatPr baseColWidth="10" defaultColWidth="11.42578125" defaultRowHeight="15" outlineLevelRow="1" x14ac:dyDescent="0.25"/>
  <cols>
    <col min="1" max="1" width="10.28515625" customWidth="1"/>
    <col min="2" max="2" width="29.28515625" customWidth="1"/>
    <col min="3" max="3" width="16.42578125" customWidth="1"/>
    <col min="4" max="4" width="15.85546875" customWidth="1"/>
    <col min="5" max="5" width="16" customWidth="1"/>
    <col min="6" max="6" width="14" customWidth="1"/>
    <col min="7" max="7" width="12.85546875" customWidth="1"/>
    <col min="8" max="8" width="13.28515625" customWidth="1"/>
    <col min="9" max="9" width="12.140625" customWidth="1"/>
    <col min="10" max="10" width="13.5703125" customWidth="1"/>
    <col min="11" max="11" width="12" customWidth="1"/>
  </cols>
  <sheetData>
    <row r="1" spans="1:10" ht="18.75" x14ac:dyDescent="0.3">
      <c r="A1" s="11"/>
      <c r="B1" s="7" t="s">
        <v>835</v>
      </c>
    </row>
    <row r="2" spans="1:10" ht="19.5" customHeight="1" thickBot="1" x14ac:dyDescent="0.3"/>
    <row r="3" spans="1:10" s="257" customFormat="1" ht="34.5" customHeight="1" thickBot="1" x14ac:dyDescent="0.3">
      <c r="A3" s="258" t="s">
        <v>2</v>
      </c>
      <c r="B3" s="424" t="s">
        <v>5</v>
      </c>
      <c r="C3" s="399" t="s">
        <v>775</v>
      </c>
      <c r="D3" s="400" t="s">
        <v>776</v>
      </c>
      <c r="E3" s="401" t="s">
        <v>777</v>
      </c>
      <c r="F3" s="401" t="s">
        <v>778</v>
      </c>
      <c r="G3" s="253" t="s">
        <v>779</v>
      </c>
      <c r="H3" s="255" t="s">
        <v>8</v>
      </c>
      <c r="I3" s="256" t="s">
        <v>780</v>
      </c>
      <c r="J3" s="401" t="s">
        <v>781</v>
      </c>
    </row>
    <row r="4" spans="1:10" ht="18.75" customHeight="1" x14ac:dyDescent="0.25">
      <c r="A4" s="185" t="s">
        <v>782</v>
      </c>
      <c r="B4" s="186"/>
      <c r="C4" s="186"/>
      <c r="D4" s="186"/>
      <c r="E4" s="402"/>
      <c r="F4" s="187"/>
      <c r="G4" s="188"/>
      <c r="H4" s="189"/>
      <c r="I4" s="53"/>
      <c r="J4" s="83"/>
    </row>
    <row r="5" spans="1:10" x14ac:dyDescent="0.25">
      <c r="A5" s="190" t="s">
        <v>79</v>
      </c>
      <c r="B5" s="232" t="s">
        <v>673</v>
      </c>
      <c r="C5" s="149"/>
      <c r="D5" s="149"/>
      <c r="E5" s="118">
        <v>29578</v>
      </c>
      <c r="F5" s="173">
        <f>Tabelle4102327[[#Totals],[Teilnahmebeiträge Fachseminare]]</f>
        <v>29578</v>
      </c>
      <c r="G5" s="171">
        <v>32000</v>
      </c>
      <c r="H5" s="149"/>
      <c r="I5" s="191"/>
      <c r="J5" s="149"/>
    </row>
    <row r="6" spans="1:10" x14ac:dyDescent="0.25">
      <c r="A6" s="190" t="s">
        <v>89</v>
      </c>
      <c r="B6" s="232" t="s">
        <v>674</v>
      </c>
      <c r="C6" s="149"/>
      <c r="D6" s="149"/>
      <c r="E6" s="118">
        <v>0</v>
      </c>
      <c r="F6" s="173">
        <f>Tabelle4102327[[#Totals],[Teilnahmebeiträge Veranstaltungen]]+Tabelle5132428[[#Totals],[Teilnahmebeiträge Veranstaltungen]]</f>
        <v>0</v>
      </c>
      <c r="G6" s="171">
        <v>0</v>
      </c>
      <c r="H6" s="149"/>
      <c r="I6" s="191"/>
      <c r="J6" s="149"/>
    </row>
    <row r="7" spans="1:10" ht="15.75" thickBot="1" x14ac:dyDescent="0.3">
      <c r="A7" s="190" t="s">
        <v>96</v>
      </c>
      <c r="B7" s="232" t="s">
        <v>783</v>
      </c>
      <c r="C7" s="149"/>
      <c r="D7" s="149"/>
      <c r="E7" s="118">
        <v>0</v>
      </c>
      <c r="F7" s="173">
        <f>Tabelle4102327[[#Totals],[Sonstige Einnahmen]]+Tabelle5132428[[#Totals],[Sonstige Einnahmen]]</f>
        <v>0</v>
      </c>
      <c r="G7" s="171">
        <v>0</v>
      </c>
      <c r="H7" s="149"/>
      <c r="I7" s="191"/>
      <c r="J7" s="149"/>
    </row>
    <row r="8" spans="1:10" ht="15.75" thickBot="1" x14ac:dyDescent="0.3">
      <c r="A8" s="192"/>
      <c r="B8" s="193"/>
      <c r="C8" s="193"/>
      <c r="D8" s="193" t="s">
        <v>579</v>
      </c>
      <c r="E8" s="210">
        <f>SUBTOTAL(9,E5:E7)</f>
        <v>29578</v>
      </c>
      <c r="F8" s="175">
        <f>SUBTOTAL(9,F5:F7)</f>
        <v>29578</v>
      </c>
      <c r="G8" s="174">
        <f>SUBTOTAL(9,G5:G7)</f>
        <v>32000</v>
      </c>
      <c r="H8" s="403"/>
      <c r="I8" s="194"/>
      <c r="J8" s="404"/>
    </row>
    <row r="9" spans="1:10" ht="18.75" customHeight="1" x14ac:dyDescent="0.25">
      <c r="A9" s="195" t="s">
        <v>122</v>
      </c>
      <c r="B9" s="196"/>
      <c r="C9" s="196"/>
      <c r="D9" s="196"/>
      <c r="E9" s="215"/>
      <c r="F9" s="177"/>
      <c r="G9" s="176"/>
      <c r="H9" s="196"/>
      <c r="I9" s="197"/>
      <c r="J9" s="149"/>
    </row>
    <row r="10" spans="1:10" x14ac:dyDescent="0.25">
      <c r="A10" s="198" t="s">
        <v>137</v>
      </c>
      <c r="B10" s="149" t="s">
        <v>784</v>
      </c>
      <c r="C10" s="149"/>
      <c r="D10" s="149"/>
      <c r="E10" s="300">
        <v>9600</v>
      </c>
      <c r="F10" s="179">
        <f>800*12</f>
        <v>9600</v>
      </c>
      <c r="G10" s="178">
        <f>800*12</f>
        <v>9600</v>
      </c>
      <c r="H10" s="149"/>
      <c r="I10" s="191"/>
      <c r="J10" s="149"/>
    </row>
    <row r="11" spans="1:10" x14ac:dyDescent="0.25">
      <c r="A11" s="198" t="s">
        <v>147</v>
      </c>
      <c r="B11" s="232" t="s">
        <v>785</v>
      </c>
      <c r="C11" s="149"/>
      <c r="D11" s="149"/>
      <c r="E11" s="118">
        <v>5000</v>
      </c>
      <c r="F11" s="173">
        <f>Tabelle6152529[[#Totals],[Aufwandsentschädigungen]]</f>
        <v>4400</v>
      </c>
      <c r="G11" s="171">
        <v>4400</v>
      </c>
      <c r="H11" s="149"/>
      <c r="I11" s="191"/>
      <c r="J11" s="149"/>
    </row>
    <row r="12" spans="1:10" x14ac:dyDescent="0.25">
      <c r="A12" s="198" t="s">
        <v>1264</v>
      </c>
      <c r="B12" s="232" t="s">
        <v>787</v>
      </c>
      <c r="C12" s="149"/>
      <c r="D12" s="149"/>
      <c r="E12" s="118">
        <v>7800</v>
      </c>
      <c r="F12" s="173">
        <f>Tabelle6152529[[#Totals],[Interne Reisekosten]]</f>
        <v>6000</v>
      </c>
      <c r="G12" s="171">
        <v>8000</v>
      </c>
      <c r="H12" s="149"/>
      <c r="I12" s="191"/>
      <c r="J12" s="149"/>
    </row>
    <row r="13" spans="1:10" ht="15" customHeight="1" x14ac:dyDescent="0.25">
      <c r="A13" s="198" t="s">
        <v>283</v>
      </c>
      <c r="B13" s="232" t="s">
        <v>788</v>
      </c>
      <c r="C13" s="199"/>
      <c r="D13" s="199"/>
      <c r="E13" s="118">
        <v>1700</v>
      </c>
      <c r="F13" s="200">
        <f>Tabelle6152529[[#Totals],[Raum + Unterkunft intern]]</f>
        <v>1700</v>
      </c>
      <c r="G13" s="171">
        <v>2000</v>
      </c>
      <c r="H13" s="199"/>
      <c r="I13" s="201"/>
      <c r="J13" s="149"/>
    </row>
    <row r="14" spans="1:10" x14ac:dyDescent="0.25">
      <c r="A14" s="198" t="s">
        <v>306</v>
      </c>
      <c r="B14" s="234" t="s">
        <v>789</v>
      </c>
      <c r="C14" s="83"/>
      <c r="D14" s="83"/>
      <c r="E14" s="118">
        <v>500</v>
      </c>
      <c r="F14" s="170">
        <f>Tabelle6152529[[#Totals],[Repräsentation/Bewirtung intern]]</f>
        <v>520</v>
      </c>
      <c r="G14" s="171">
        <v>500</v>
      </c>
      <c r="H14" s="83"/>
      <c r="I14" s="202"/>
      <c r="J14" s="83"/>
    </row>
    <row r="15" spans="1:10" x14ac:dyDescent="0.25">
      <c r="A15" s="745" t="s">
        <v>354</v>
      </c>
      <c r="B15" s="232" t="s">
        <v>790</v>
      </c>
      <c r="C15" s="149"/>
      <c r="D15" s="149"/>
      <c r="E15" s="810">
        <v>25715</v>
      </c>
      <c r="F15" s="173">
        <f>Tabelle4102327[[#Totals],[Honorare Dozierende Fachseminare]]</f>
        <v>25715</v>
      </c>
      <c r="G15" s="739">
        <f>42000*0.7</f>
        <v>29399.999999999996</v>
      </c>
      <c r="H15" s="149"/>
      <c r="I15" s="191"/>
      <c r="J15" s="149"/>
    </row>
    <row r="16" spans="1:10" x14ac:dyDescent="0.25">
      <c r="A16" s="745" t="s">
        <v>365</v>
      </c>
      <c r="B16" s="233" t="s">
        <v>329</v>
      </c>
      <c r="C16" s="741"/>
      <c r="D16" s="741"/>
      <c r="E16" s="810">
        <v>2500</v>
      </c>
      <c r="F16" s="746">
        <f>Tabelle5132428[[#Totals],[Andere Honorare]]</f>
        <v>2500</v>
      </c>
      <c r="G16" s="739">
        <f>42000*0.15</f>
        <v>6300</v>
      </c>
      <c r="H16" s="741"/>
      <c r="I16" s="742"/>
      <c r="J16" s="741"/>
    </row>
    <row r="17" spans="1:11" x14ac:dyDescent="0.25">
      <c r="A17" s="745" t="s">
        <v>373</v>
      </c>
      <c r="B17" s="233" t="s">
        <v>791</v>
      </c>
      <c r="C17" s="741"/>
      <c r="D17" s="741"/>
      <c r="E17" s="810">
        <v>500</v>
      </c>
      <c r="F17" s="746">
        <f>Tabelle4102327[[#Totals],[Externe Reisekosten]]</f>
        <v>500</v>
      </c>
      <c r="G17" s="739">
        <f>42000*0.15</f>
        <v>6300</v>
      </c>
      <c r="H17" s="741"/>
      <c r="I17" s="742"/>
      <c r="J17" s="741"/>
    </row>
    <row r="18" spans="1:11" x14ac:dyDescent="0.25">
      <c r="A18" s="745" t="s">
        <v>383</v>
      </c>
      <c r="B18" s="233" t="s">
        <v>376</v>
      </c>
      <c r="C18" s="741"/>
      <c r="D18" s="741"/>
      <c r="E18" s="810">
        <v>450</v>
      </c>
      <c r="F18" s="746">
        <f>Tabelle4102327[[#Totals],[Repräsentation/Bewirtung extern]]+Tabelle5132428[[#Totals],[Repräsentation/Bewirtung extern]]</f>
        <v>450</v>
      </c>
      <c r="G18" s="739">
        <v>300</v>
      </c>
      <c r="H18" s="741"/>
      <c r="I18" s="742"/>
      <c r="J18" s="741"/>
    </row>
    <row r="19" spans="1:11" x14ac:dyDescent="0.25">
      <c r="A19" s="745" t="s">
        <v>395</v>
      </c>
      <c r="B19" s="233" t="s">
        <v>792</v>
      </c>
      <c r="C19" s="741"/>
      <c r="D19" s="741"/>
      <c r="E19" s="810">
        <v>400</v>
      </c>
      <c r="F19" s="746">
        <f>Tabelle4102327[[#Totals],[Raum + Unterkunft extern]]+Tabelle5132428[[#Totals],[Raum + Unterkunft extern]]</f>
        <v>400</v>
      </c>
      <c r="G19" s="739">
        <v>4000</v>
      </c>
      <c r="H19" s="741"/>
      <c r="I19" s="742"/>
      <c r="J19" s="741"/>
    </row>
    <row r="20" spans="1:11" x14ac:dyDescent="0.25">
      <c r="A20" s="198" t="s">
        <v>405</v>
      </c>
      <c r="B20" s="234" t="s">
        <v>1297</v>
      </c>
      <c r="C20" s="83"/>
      <c r="D20" s="83"/>
      <c r="E20" s="118">
        <v>1700</v>
      </c>
      <c r="F20" s="170">
        <f>Tabelle4102327[[#Totals],[Verwaltungs- und Druckkosten]]+Tabelle5132428[[#Totals],[Druckkosten]]</f>
        <v>1703</v>
      </c>
      <c r="G20" s="171">
        <v>0</v>
      </c>
      <c r="H20" s="83"/>
      <c r="I20" s="202"/>
      <c r="J20" s="83"/>
    </row>
    <row r="21" spans="1:11" x14ac:dyDescent="0.25">
      <c r="A21" s="198" t="s">
        <v>418</v>
      </c>
      <c r="B21" s="234" t="s">
        <v>410</v>
      </c>
      <c r="C21" s="83"/>
      <c r="D21" s="83"/>
      <c r="E21" s="118">
        <v>3000</v>
      </c>
      <c r="F21" s="170">
        <f>Tabelle5132428[[#Totals],[Sonstige Kosten]]</f>
        <v>3000</v>
      </c>
      <c r="G21" s="171">
        <v>3000</v>
      </c>
      <c r="H21" s="83"/>
      <c r="I21" s="202"/>
      <c r="J21" s="83"/>
    </row>
    <row r="22" spans="1:11" ht="15.75" thickBot="1" x14ac:dyDescent="0.3">
      <c r="A22" s="198" t="s">
        <v>440</v>
      </c>
      <c r="B22" s="234" t="s">
        <v>715</v>
      </c>
      <c r="C22" s="83"/>
      <c r="D22" s="83"/>
      <c r="E22" s="118">
        <v>1000</v>
      </c>
      <c r="F22" s="203">
        <f>Tabelle5132428[[#Totals],[Rechtsangelegenheiten]]</f>
        <v>1000</v>
      </c>
      <c r="G22" s="182">
        <v>1500</v>
      </c>
      <c r="H22" s="83"/>
      <c r="I22" s="202"/>
      <c r="J22" s="83"/>
    </row>
    <row r="23" spans="1:11" ht="15.75" thickBot="1" x14ac:dyDescent="0.3">
      <c r="A23" s="204"/>
      <c r="B23" s="205"/>
      <c r="C23" s="205"/>
      <c r="D23" s="206" t="s">
        <v>579</v>
      </c>
      <c r="E23" s="216">
        <f t="shared" ref="E23:F23" si="0">SUBTOTAL(109,E10:E22)</f>
        <v>59865</v>
      </c>
      <c r="F23" s="184">
        <f t="shared" si="0"/>
        <v>57488</v>
      </c>
      <c r="G23" s="184">
        <f>SUBTOTAL(109,G10:G22)</f>
        <v>75300</v>
      </c>
      <c r="H23" s="405"/>
      <c r="I23" s="207"/>
      <c r="J23" s="406"/>
    </row>
    <row r="24" spans="1:11" ht="15.75" thickBot="1" x14ac:dyDescent="0.3">
      <c r="A24" s="81"/>
      <c r="B24" s="83"/>
      <c r="C24" s="83"/>
      <c r="D24" s="83"/>
      <c r="E24" s="83"/>
      <c r="F24" s="83"/>
      <c r="G24" s="83"/>
      <c r="H24" s="83"/>
    </row>
    <row r="25" spans="1:11" ht="15.75" thickBot="1" x14ac:dyDescent="0.3">
      <c r="A25" s="81"/>
      <c r="B25" s="83"/>
      <c r="C25" s="83"/>
      <c r="D25" s="213" t="s">
        <v>793</v>
      </c>
      <c r="E25" s="214">
        <f>E8-Tabelle18222630[[#Totals],[Freie Eingabe Plan HHJ 22-23]]</f>
        <v>-30287</v>
      </c>
      <c r="F25" s="407">
        <f>F8-Tabelle18222630[[#Totals],[Rechnung HHJ 22-23]]</f>
        <v>-27910</v>
      </c>
      <c r="G25" s="407">
        <f>G8-Tabelle18222630[[#Totals],[Freie Eingabe Plan HHJ 21-22]]</f>
        <v>-43300</v>
      </c>
      <c r="H25" s="407"/>
      <c r="I25" s="407"/>
      <c r="J25" s="407"/>
      <c r="K25" s="407"/>
    </row>
    <row r="26" spans="1:11" x14ac:dyDescent="0.25">
      <c r="A26" s="80"/>
      <c r="B26" s="79"/>
      <c r="C26" s="79"/>
      <c r="D26" s="79"/>
      <c r="E26" s="79"/>
      <c r="F26" s="79"/>
      <c r="G26" s="79"/>
      <c r="H26" s="79"/>
    </row>
    <row r="27" spans="1:11" ht="15.75" x14ac:dyDescent="0.25">
      <c r="B27" s="117" t="s">
        <v>794</v>
      </c>
      <c r="C27" s="79"/>
      <c r="D27" s="79"/>
      <c r="E27" s="91"/>
      <c r="F27" s="79"/>
      <c r="G27" s="79"/>
      <c r="H27" s="79"/>
    </row>
    <row r="28" spans="1:11" ht="15.75" x14ac:dyDescent="0.25">
      <c r="B28" s="80" t="s">
        <v>795</v>
      </c>
      <c r="C28" s="79"/>
      <c r="D28" s="79"/>
      <c r="E28" s="91"/>
      <c r="F28" s="79"/>
      <c r="G28" s="79"/>
      <c r="H28" s="79"/>
    </row>
    <row r="29" spans="1:11" x14ac:dyDescent="0.25">
      <c r="B29" s="80" t="s">
        <v>796</v>
      </c>
      <c r="C29" s="83"/>
      <c r="D29" s="83"/>
      <c r="E29" s="92"/>
      <c r="F29" s="83"/>
      <c r="G29" s="83"/>
      <c r="H29" s="83"/>
    </row>
    <row r="30" spans="1:11" x14ac:dyDescent="0.25">
      <c r="A30" s="81"/>
      <c r="B30" s="83"/>
      <c r="C30" s="83"/>
      <c r="D30" s="83"/>
      <c r="E30" s="92"/>
      <c r="F30" s="83"/>
      <c r="G30" s="83"/>
      <c r="H30" s="83"/>
    </row>
    <row r="31" spans="1:11" x14ac:dyDescent="0.25">
      <c r="A31" s="80"/>
      <c r="B31" s="79"/>
      <c r="C31" s="79"/>
      <c r="D31" s="79"/>
      <c r="E31" s="79"/>
      <c r="F31" s="79"/>
      <c r="G31" s="79"/>
      <c r="H31" s="79"/>
    </row>
    <row r="32" spans="1:11" ht="15.75" x14ac:dyDescent="0.25">
      <c r="A32" s="7"/>
      <c r="B32" s="7" t="s">
        <v>1299</v>
      </c>
      <c r="D32" s="6" t="s">
        <v>797</v>
      </c>
    </row>
    <row r="33" spans="1:14" ht="16.5" thickBot="1" x14ac:dyDescent="0.3">
      <c r="A33" s="7"/>
    </row>
    <row r="34" spans="1:14" ht="15.75" thickBot="1" x14ac:dyDescent="0.3">
      <c r="A34" s="408"/>
      <c r="B34" s="409" t="s">
        <v>679</v>
      </c>
      <c r="C34" s="410" t="s">
        <v>79</v>
      </c>
      <c r="D34" s="411" t="s">
        <v>89</v>
      </c>
      <c r="E34" s="411" t="s">
        <v>96</v>
      </c>
      <c r="F34" s="412" t="s">
        <v>354</v>
      </c>
      <c r="G34" s="412"/>
      <c r="H34" s="412" t="s">
        <v>373</v>
      </c>
      <c r="I34" s="412" t="s">
        <v>383</v>
      </c>
      <c r="J34" s="412" t="s">
        <v>395</v>
      </c>
      <c r="K34" s="412" t="s">
        <v>405</v>
      </c>
      <c r="L34" s="413"/>
    </row>
    <row r="35" spans="1:14" ht="39.75" thickBot="1" x14ac:dyDescent="0.3">
      <c r="A35" s="98" t="s">
        <v>798</v>
      </c>
      <c r="B35" s="142" t="s">
        <v>799</v>
      </c>
      <c r="C35" s="414" t="s">
        <v>800</v>
      </c>
      <c r="D35" s="415" t="s">
        <v>674</v>
      </c>
      <c r="E35" s="415" t="s">
        <v>801</v>
      </c>
      <c r="F35" s="415" t="s">
        <v>326</v>
      </c>
      <c r="G35" s="415" t="s">
        <v>806</v>
      </c>
      <c r="H35" s="415" t="s">
        <v>333</v>
      </c>
      <c r="I35" s="415" t="s">
        <v>802</v>
      </c>
      <c r="J35" s="415" t="s">
        <v>803</v>
      </c>
      <c r="K35" s="415" t="s">
        <v>1290</v>
      </c>
      <c r="L35" s="416" t="s">
        <v>630</v>
      </c>
    </row>
    <row r="36" spans="1:14" ht="360" x14ac:dyDescent="0.25">
      <c r="A36" s="98">
        <f>ROW(A1)</f>
        <v>1</v>
      </c>
      <c r="B36" s="750" t="s">
        <v>1343</v>
      </c>
      <c r="C36" s="753"/>
      <c r="D36" s="754"/>
      <c r="E36" s="754"/>
      <c r="F36" s="754"/>
      <c r="G36" s="754"/>
      <c r="H36" s="754"/>
      <c r="I36" s="754"/>
      <c r="J36" s="754"/>
      <c r="K36" s="754"/>
      <c r="L36" s="755"/>
      <c r="N36" s="748" t="s">
        <v>1362</v>
      </c>
    </row>
    <row r="37" spans="1:14" ht="120" x14ac:dyDescent="0.25">
      <c r="A37" s="98">
        <f>ROW(A1)</f>
        <v>1</v>
      </c>
      <c r="B37" s="813" t="s">
        <v>1344</v>
      </c>
      <c r="C37" s="811">
        <v>7159</v>
      </c>
      <c r="D37" s="812"/>
      <c r="E37" s="812"/>
      <c r="F37" s="812">
        <v>6380</v>
      </c>
      <c r="G37" s="812">
        <v>256</v>
      </c>
      <c r="H37" s="812"/>
      <c r="I37" s="812">
        <v>40</v>
      </c>
      <c r="J37" s="812"/>
      <c r="K37" s="812">
        <v>483</v>
      </c>
      <c r="L37" s="120">
        <f>SUM(C37:E37)-SUM(F37:K37)</f>
        <v>0</v>
      </c>
    </row>
    <row r="38" spans="1:14" s="84" customFormat="1" ht="135" outlineLevel="1" x14ac:dyDescent="0.25">
      <c r="A38" s="93">
        <f>ROW(A1)</f>
        <v>1</v>
      </c>
      <c r="B38" s="765" t="s">
        <v>1323</v>
      </c>
      <c r="C38" s="118">
        <v>3871</v>
      </c>
      <c r="D38" s="807"/>
      <c r="E38" s="807"/>
      <c r="F38" s="807">
        <v>3480</v>
      </c>
      <c r="G38" s="807">
        <v>128</v>
      </c>
      <c r="H38" s="807"/>
      <c r="I38" s="807">
        <v>20</v>
      </c>
      <c r="J38" s="807"/>
      <c r="K38" s="807">
        <v>243</v>
      </c>
      <c r="L38" s="120">
        <f>SUM(C38:E38)-SUM(F38:K38)</f>
        <v>0</v>
      </c>
    </row>
    <row r="39" spans="1:14" s="84" customFormat="1" ht="150" outlineLevel="1" x14ac:dyDescent="0.25">
      <c r="A39" s="93">
        <f>ROW(A2)</f>
        <v>2</v>
      </c>
      <c r="B39" s="765" t="s">
        <v>1324</v>
      </c>
      <c r="C39" s="118">
        <v>4400.5</v>
      </c>
      <c r="D39" s="119"/>
      <c r="E39" s="119"/>
      <c r="F39" s="119">
        <v>3987.5</v>
      </c>
      <c r="G39" s="119">
        <v>160</v>
      </c>
      <c r="H39" s="119"/>
      <c r="I39" s="119">
        <v>25</v>
      </c>
      <c r="J39" s="119"/>
      <c r="K39" s="119">
        <v>228</v>
      </c>
      <c r="L39" s="120">
        <f t="shared" ref="L39:L46" si="1">SUM(C39:E39)-SUM(F39:K39)</f>
        <v>0</v>
      </c>
    </row>
    <row r="40" spans="1:14" s="84" customFormat="1" ht="45" outlineLevel="1" x14ac:dyDescent="0.25">
      <c r="A40" s="93">
        <f>ROW(A3)</f>
        <v>3</v>
      </c>
      <c r="B40" s="765" t="s">
        <v>1320</v>
      </c>
      <c r="C40" s="118">
        <v>3521</v>
      </c>
      <c r="D40" s="119"/>
      <c r="E40" s="119"/>
      <c r="F40" s="119">
        <v>3190</v>
      </c>
      <c r="G40" s="119">
        <v>128</v>
      </c>
      <c r="H40" s="119"/>
      <c r="I40" s="119">
        <v>20</v>
      </c>
      <c r="J40" s="119"/>
      <c r="K40" s="119">
        <v>183</v>
      </c>
      <c r="L40" s="120">
        <f t="shared" si="1"/>
        <v>0</v>
      </c>
    </row>
    <row r="41" spans="1:14" s="84" customFormat="1" ht="60" outlineLevel="1" x14ac:dyDescent="0.25">
      <c r="A41" s="93">
        <f>ROW(A4)</f>
        <v>4</v>
      </c>
      <c r="B41" s="765" t="s">
        <v>1321</v>
      </c>
      <c r="C41" s="118">
        <v>3521</v>
      </c>
      <c r="D41" s="119"/>
      <c r="E41" s="119"/>
      <c r="F41" s="119">
        <v>3190</v>
      </c>
      <c r="G41" s="119">
        <v>128</v>
      </c>
      <c r="H41" s="119"/>
      <c r="I41" s="119">
        <v>20</v>
      </c>
      <c r="J41" s="119"/>
      <c r="K41" s="119">
        <v>183</v>
      </c>
      <c r="L41" s="120">
        <f t="shared" si="1"/>
        <v>0</v>
      </c>
    </row>
    <row r="42" spans="1:14" s="84" customFormat="1" ht="45" outlineLevel="1" x14ac:dyDescent="0.25">
      <c r="A42" s="93">
        <f>ROW(A5)</f>
        <v>5</v>
      </c>
      <c r="B42" s="765" t="s">
        <v>1322</v>
      </c>
      <c r="C42" s="118">
        <v>4355.5</v>
      </c>
      <c r="D42" s="119"/>
      <c r="E42" s="119"/>
      <c r="F42" s="119">
        <v>3987.5</v>
      </c>
      <c r="G42" s="119">
        <v>160</v>
      </c>
      <c r="H42" s="119"/>
      <c r="I42" s="119">
        <v>25</v>
      </c>
      <c r="J42" s="119"/>
      <c r="K42" s="119">
        <v>183</v>
      </c>
      <c r="L42" s="120">
        <f t="shared" si="1"/>
        <v>0</v>
      </c>
    </row>
    <row r="43" spans="1:14" s="84" customFormat="1" outlineLevel="1" x14ac:dyDescent="0.25">
      <c r="A43" s="93">
        <f>ROW(A7)</f>
        <v>7</v>
      </c>
      <c r="B43" s="765"/>
      <c r="C43" s="118"/>
      <c r="D43" s="119"/>
      <c r="E43" s="119"/>
      <c r="F43" s="119"/>
      <c r="G43" s="119"/>
      <c r="H43" s="119"/>
      <c r="I43" s="119"/>
      <c r="J43" s="119"/>
      <c r="K43" s="119"/>
      <c r="L43" s="120">
        <f t="shared" si="1"/>
        <v>0</v>
      </c>
    </row>
    <row r="44" spans="1:14" s="84" customFormat="1" outlineLevel="1" x14ac:dyDescent="0.25">
      <c r="A44" s="93">
        <f>ROW(A24)</f>
        <v>24</v>
      </c>
      <c r="B44" s="302"/>
      <c r="C44" s="118"/>
      <c r="D44" s="119"/>
      <c r="E44" s="119"/>
      <c r="F44" s="119"/>
      <c r="G44" s="119"/>
      <c r="H44" s="119"/>
      <c r="I44" s="119"/>
      <c r="J44" s="119"/>
      <c r="K44" s="119"/>
      <c r="L44" s="120">
        <f t="shared" si="1"/>
        <v>0</v>
      </c>
    </row>
    <row r="45" spans="1:14" s="84" customFormat="1" outlineLevel="1" x14ac:dyDescent="0.25">
      <c r="A45" s="93">
        <f>ROW(A25)</f>
        <v>25</v>
      </c>
      <c r="C45" s="118"/>
      <c r="D45" s="119"/>
      <c r="E45" s="119"/>
      <c r="F45" s="119"/>
      <c r="G45" s="119"/>
      <c r="H45" s="119"/>
      <c r="I45" s="119"/>
      <c r="J45" s="119"/>
      <c r="K45" s="119"/>
      <c r="L45" s="120">
        <f t="shared" si="1"/>
        <v>0</v>
      </c>
    </row>
    <row r="46" spans="1:14" s="84" customFormat="1" outlineLevel="1" x14ac:dyDescent="0.25">
      <c r="A46" s="93">
        <f>ROW(A26)</f>
        <v>26</v>
      </c>
      <c r="B46" s="85" t="s">
        <v>629</v>
      </c>
      <c r="C46" s="121">
        <v>2750</v>
      </c>
      <c r="D46" s="122">
        <v>0</v>
      </c>
      <c r="E46" s="122">
        <v>0</v>
      </c>
      <c r="F46" s="122">
        <v>1500</v>
      </c>
      <c r="G46" s="122">
        <v>250</v>
      </c>
      <c r="H46" s="122">
        <v>500</v>
      </c>
      <c r="I46" s="122">
        <v>100</v>
      </c>
      <c r="J46" s="122">
        <v>200</v>
      </c>
      <c r="K46" s="122">
        <v>200</v>
      </c>
      <c r="L46" s="120">
        <f t="shared" si="1"/>
        <v>0</v>
      </c>
    </row>
    <row r="47" spans="1:14" s="84" customFormat="1" ht="15.75" outlineLevel="1" thickBot="1" x14ac:dyDescent="0.3">
      <c r="A47" s="93"/>
      <c r="C47" s="124"/>
      <c r="D47" s="119"/>
      <c r="E47" s="119"/>
      <c r="F47" s="125"/>
      <c r="G47" s="119"/>
      <c r="H47" s="119"/>
      <c r="I47" s="119"/>
      <c r="J47" s="119"/>
      <c r="K47" s="119"/>
      <c r="L47" s="126"/>
    </row>
    <row r="48" spans="1:14" s="101" customFormat="1" ht="20.25" customHeight="1" thickBot="1" x14ac:dyDescent="0.3">
      <c r="A48" s="99"/>
      <c r="B48" s="100" t="s">
        <v>754</v>
      </c>
      <c r="C48" s="301">
        <f>SUBTOTAL(9,Tabelle4102327[Teilnahmebeiträge Fachseminare])</f>
        <v>29578</v>
      </c>
      <c r="D48" s="425">
        <f>SUBTOTAL(9,Tabelle4102327[Teilnahmebeiträge Veranstaltungen])</f>
        <v>0</v>
      </c>
      <c r="E48" s="425">
        <f>SUBTOTAL(9,Tabelle4102327[Sonstige Einnahmen])</f>
        <v>0</v>
      </c>
      <c r="F48" s="426">
        <f>SUBTOTAL(9,Tabelle4102327[Honorare Dozierende Fachseminare])</f>
        <v>25715</v>
      </c>
      <c r="G48" s="426">
        <f>SUBTOTAL(9,Tabelle4102327[Aufwandsentschädigungen])</f>
        <v>1210</v>
      </c>
      <c r="H48" s="426">
        <f>SUBTOTAL(9,Tabelle4102327[Externe Reisekosten])</f>
        <v>500</v>
      </c>
      <c r="I48" s="426">
        <f>SUBTOTAL(9,Tabelle4102327[Repräsentation/Bewirtung extern])</f>
        <v>250</v>
      </c>
      <c r="J48" s="426">
        <f>SUBTOTAL(9,Tabelle4102327[Raum + Unterkunft extern])</f>
        <v>200</v>
      </c>
      <c r="K48" s="426">
        <f>SUBTOTAL(9,Tabelle4102327[Verwaltungs- und Druckkosten])</f>
        <v>1703</v>
      </c>
      <c r="L48" s="756">
        <f>SUBTOTAL(9,Tabelle4102327[Gesamt])</f>
        <v>0</v>
      </c>
    </row>
    <row r="49" spans="1:15" ht="15" customHeight="1" x14ac:dyDescent="0.3">
      <c r="A49" s="11"/>
    </row>
    <row r="50" spans="1:15" s="78" customFormat="1" ht="15.75" x14ac:dyDescent="0.25">
      <c r="A50" s="7"/>
      <c r="B50" s="7" t="s">
        <v>804</v>
      </c>
      <c r="D50" s="6" t="s">
        <v>797</v>
      </c>
    </row>
    <row r="51" spans="1:15" ht="15.75" customHeight="1" thickBot="1" x14ac:dyDescent="0.35">
      <c r="A51" s="11"/>
    </row>
    <row r="52" spans="1:15" ht="15.75" thickBot="1" x14ac:dyDescent="0.3">
      <c r="A52" s="103"/>
      <c r="B52" s="145" t="s">
        <v>679</v>
      </c>
      <c r="C52" s="94" t="s">
        <v>89</v>
      </c>
      <c r="D52" s="95" t="s">
        <v>96</v>
      </c>
      <c r="E52" s="96" t="s">
        <v>147</v>
      </c>
      <c r="F52" s="96" t="s">
        <v>253</v>
      </c>
      <c r="G52" s="96" t="s">
        <v>283</v>
      </c>
      <c r="H52" s="96" t="s">
        <v>306</v>
      </c>
      <c r="I52" s="96" t="s">
        <v>383</v>
      </c>
      <c r="J52" s="96" t="s">
        <v>395</v>
      </c>
      <c r="K52" s="96" t="s">
        <v>405</v>
      </c>
      <c r="L52" s="96" t="s">
        <v>418</v>
      </c>
      <c r="M52" s="96" t="s">
        <v>440</v>
      </c>
      <c r="N52" s="743" t="s">
        <v>365</v>
      </c>
      <c r="O52" s="97"/>
    </row>
    <row r="53" spans="1:15" ht="39.75" thickBot="1" x14ac:dyDescent="0.3">
      <c r="A53" s="104" t="s">
        <v>798</v>
      </c>
      <c r="B53" s="102" t="s">
        <v>805</v>
      </c>
      <c r="C53" s="105" t="s">
        <v>674</v>
      </c>
      <c r="D53" s="102" t="s">
        <v>801</v>
      </c>
      <c r="E53" s="102" t="s">
        <v>806</v>
      </c>
      <c r="F53" s="102" t="s">
        <v>667</v>
      </c>
      <c r="G53" s="102" t="s">
        <v>807</v>
      </c>
      <c r="H53" s="102" t="s">
        <v>808</v>
      </c>
      <c r="I53" s="102" t="s">
        <v>802</v>
      </c>
      <c r="J53" s="102" t="s">
        <v>803</v>
      </c>
      <c r="K53" s="102" t="s">
        <v>342</v>
      </c>
      <c r="L53" s="102" t="s">
        <v>321</v>
      </c>
      <c r="M53" s="102" t="s">
        <v>715</v>
      </c>
      <c r="N53" s="102" t="s">
        <v>329</v>
      </c>
      <c r="O53" s="106" t="s">
        <v>630</v>
      </c>
    </row>
    <row r="54" spans="1:15" s="84" customFormat="1" ht="26.25" outlineLevel="1" x14ac:dyDescent="0.25">
      <c r="A54" s="284">
        <f t="shared" ref="A54:A65" si="2">ROW(A1)</f>
        <v>1</v>
      </c>
      <c r="B54" s="285" t="s">
        <v>1328</v>
      </c>
      <c r="C54" s="420"/>
      <c r="D54" s="421"/>
      <c r="E54" s="421"/>
      <c r="F54" s="421"/>
      <c r="G54" s="421"/>
      <c r="H54" s="421"/>
      <c r="I54" s="421"/>
      <c r="J54" s="421"/>
      <c r="K54" s="421"/>
      <c r="L54" s="421">
        <v>2000</v>
      </c>
      <c r="M54" s="421">
        <v>0</v>
      </c>
      <c r="N54" s="421"/>
      <c r="O54" s="292">
        <f t="shared" ref="O54:O55" si="3">(C54+D54)-SUM(E54:N54)</f>
        <v>-2000</v>
      </c>
    </row>
    <row r="55" spans="1:15" s="84" customFormat="1" outlineLevel="1" x14ac:dyDescent="0.25">
      <c r="A55" s="284">
        <f t="shared" si="2"/>
        <v>2</v>
      </c>
      <c r="B55" s="285" t="s">
        <v>836</v>
      </c>
      <c r="C55" s="286"/>
      <c r="D55" s="287"/>
      <c r="E55" s="287"/>
      <c r="F55" s="287"/>
      <c r="G55" s="287"/>
      <c r="H55" s="287"/>
      <c r="I55" s="287"/>
      <c r="J55" s="287"/>
      <c r="K55" s="287"/>
      <c r="L55" s="287"/>
      <c r="M55" s="287">
        <v>500</v>
      </c>
      <c r="N55" s="287"/>
      <c r="O55" s="292">
        <f t="shared" si="3"/>
        <v>-500</v>
      </c>
    </row>
    <row r="56" spans="1:15" s="84" customFormat="1" ht="26.25" outlineLevel="1" x14ac:dyDescent="0.25">
      <c r="A56" s="284">
        <f t="shared" si="2"/>
        <v>3</v>
      </c>
      <c r="B56" s="285" t="s">
        <v>1325</v>
      </c>
      <c r="C56" s="286"/>
      <c r="D56" s="287"/>
      <c r="E56" s="287"/>
      <c r="F56" s="287"/>
      <c r="G56" s="287"/>
      <c r="H56" s="287"/>
      <c r="I56" s="287"/>
      <c r="J56" s="287"/>
      <c r="K56" s="287"/>
      <c r="L56" s="287"/>
      <c r="M56" s="287"/>
      <c r="N56" s="287">
        <v>2000</v>
      </c>
      <c r="O56" s="292">
        <f>(C56+D56)-SUM(E56:N56)</f>
        <v>-2000</v>
      </c>
    </row>
    <row r="57" spans="1:15" s="84" customFormat="1" outlineLevel="1" x14ac:dyDescent="0.25">
      <c r="A57" s="284">
        <f t="shared" si="2"/>
        <v>4</v>
      </c>
      <c r="B57" s="285"/>
      <c r="C57" s="286"/>
      <c r="D57" s="287"/>
      <c r="E57" s="287"/>
      <c r="F57" s="287"/>
      <c r="G57" s="287"/>
      <c r="H57" s="287"/>
      <c r="I57" s="287"/>
      <c r="J57" s="287"/>
      <c r="K57" s="287"/>
      <c r="L57" s="287"/>
      <c r="M57" s="287"/>
      <c r="N57" s="287"/>
      <c r="O57" s="292">
        <f t="shared" ref="O57:O65" si="4">(C57+D57)-SUM(E57:N57)</f>
        <v>0</v>
      </c>
    </row>
    <row r="58" spans="1:15" s="84" customFormat="1" outlineLevel="1" x14ac:dyDescent="0.25">
      <c r="A58" s="284">
        <f t="shared" si="2"/>
        <v>5</v>
      </c>
      <c r="B58" s="285"/>
      <c r="C58" s="286"/>
      <c r="D58" s="287"/>
      <c r="E58" s="287"/>
      <c r="F58" s="287"/>
      <c r="G58" s="287"/>
      <c r="H58" s="287"/>
      <c r="I58" s="287"/>
      <c r="J58" s="287"/>
      <c r="K58" s="287"/>
      <c r="L58" s="287"/>
      <c r="M58" s="287"/>
      <c r="N58" s="287"/>
      <c r="O58" s="292">
        <f t="shared" si="4"/>
        <v>0</v>
      </c>
    </row>
    <row r="59" spans="1:15" s="84" customFormat="1" outlineLevel="1" x14ac:dyDescent="0.25">
      <c r="A59" s="284">
        <f t="shared" si="2"/>
        <v>6</v>
      </c>
      <c r="B59" s="285"/>
      <c r="C59" s="286"/>
      <c r="D59" s="287"/>
      <c r="E59" s="287"/>
      <c r="F59" s="287"/>
      <c r="G59" s="287"/>
      <c r="H59" s="287"/>
      <c r="I59" s="287"/>
      <c r="J59" s="287"/>
      <c r="K59" s="287"/>
      <c r="L59" s="287"/>
      <c r="M59" s="287"/>
      <c r="N59" s="287"/>
      <c r="O59" s="292">
        <f t="shared" si="4"/>
        <v>0</v>
      </c>
    </row>
    <row r="60" spans="1:15" s="84" customFormat="1" outlineLevel="1" x14ac:dyDescent="0.25">
      <c r="A60" s="284">
        <f t="shared" si="2"/>
        <v>7</v>
      </c>
      <c r="B60" s="285"/>
      <c r="C60" s="286"/>
      <c r="D60" s="287"/>
      <c r="E60" s="287"/>
      <c r="F60" s="287"/>
      <c r="G60" s="287"/>
      <c r="H60" s="287"/>
      <c r="I60" s="287"/>
      <c r="J60" s="287"/>
      <c r="K60" s="287"/>
      <c r="L60" s="287"/>
      <c r="M60" s="287"/>
      <c r="N60" s="287"/>
      <c r="O60" s="292">
        <f t="shared" si="4"/>
        <v>0</v>
      </c>
    </row>
    <row r="61" spans="1:15" s="84" customFormat="1" outlineLevel="1" x14ac:dyDescent="0.25">
      <c r="A61" s="284">
        <f t="shared" si="2"/>
        <v>8</v>
      </c>
      <c r="B61" s="285"/>
      <c r="C61" s="286"/>
      <c r="D61" s="287"/>
      <c r="E61" s="287"/>
      <c r="F61" s="287"/>
      <c r="G61" s="287"/>
      <c r="H61" s="287"/>
      <c r="I61" s="287"/>
      <c r="J61" s="287"/>
      <c r="K61" s="287"/>
      <c r="L61" s="287"/>
      <c r="M61" s="287"/>
      <c r="N61" s="287"/>
      <c r="O61" s="292">
        <f t="shared" si="4"/>
        <v>0</v>
      </c>
    </row>
    <row r="62" spans="1:15" s="84" customFormat="1" outlineLevel="1" x14ac:dyDescent="0.25">
      <c r="A62" s="284">
        <f t="shared" si="2"/>
        <v>9</v>
      </c>
      <c r="B62" s="285"/>
      <c r="C62" s="286"/>
      <c r="D62" s="287"/>
      <c r="E62" s="287"/>
      <c r="F62" s="287"/>
      <c r="G62" s="287"/>
      <c r="H62" s="287"/>
      <c r="I62" s="287"/>
      <c r="J62" s="287"/>
      <c r="K62" s="287"/>
      <c r="L62" s="287"/>
      <c r="M62" s="287"/>
      <c r="N62" s="287"/>
      <c r="O62" s="292">
        <f t="shared" si="4"/>
        <v>0</v>
      </c>
    </row>
    <row r="63" spans="1:15" s="84" customFormat="1" outlineLevel="1" x14ac:dyDescent="0.25">
      <c r="A63" s="284">
        <f t="shared" si="2"/>
        <v>10</v>
      </c>
      <c r="B63" s="285"/>
      <c r="C63" s="286"/>
      <c r="D63" s="287"/>
      <c r="E63" s="287"/>
      <c r="F63" s="287"/>
      <c r="G63" s="287"/>
      <c r="H63" s="287"/>
      <c r="I63" s="287"/>
      <c r="J63" s="287"/>
      <c r="K63" s="287"/>
      <c r="L63" s="287"/>
      <c r="M63" s="287"/>
      <c r="N63" s="287"/>
      <c r="O63" s="292">
        <f t="shared" si="4"/>
        <v>0</v>
      </c>
    </row>
    <row r="64" spans="1:15" s="84" customFormat="1" outlineLevel="1" x14ac:dyDescent="0.25">
      <c r="A64" s="284">
        <f t="shared" si="2"/>
        <v>11</v>
      </c>
      <c r="B64" s="285"/>
      <c r="C64" s="286"/>
      <c r="D64" s="287"/>
      <c r="E64" s="287"/>
      <c r="F64" s="287"/>
      <c r="G64" s="287"/>
      <c r="H64" s="287"/>
      <c r="I64" s="287"/>
      <c r="J64" s="287"/>
      <c r="K64" s="287"/>
      <c r="L64" s="287"/>
      <c r="M64" s="287"/>
      <c r="N64" s="287"/>
      <c r="O64" s="292">
        <f t="shared" si="4"/>
        <v>0</v>
      </c>
    </row>
    <row r="65" spans="1:15" s="84" customFormat="1" ht="15.75" outlineLevel="1" thickBot="1" x14ac:dyDescent="0.3">
      <c r="A65" s="284">
        <f t="shared" si="2"/>
        <v>12</v>
      </c>
      <c r="B65" s="289" t="s">
        <v>629</v>
      </c>
      <c r="C65" s="295">
        <v>0</v>
      </c>
      <c r="D65" s="296">
        <v>0</v>
      </c>
      <c r="E65" s="296">
        <v>500</v>
      </c>
      <c r="F65" s="296">
        <v>1000</v>
      </c>
      <c r="G65" s="296">
        <v>200</v>
      </c>
      <c r="H65" s="296">
        <v>200</v>
      </c>
      <c r="I65" s="296">
        <v>200</v>
      </c>
      <c r="J65" s="296">
        <v>200</v>
      </c>
      <c r="K65" s="296">
        <v>0</v>
      </c>
      <c r="L65" s="296">
        <v>1000</v>
      </c>
      <c r="M65" s="296">
        <v>500</v>
      </c>
      <c r="N65" s="766">
        <v>500</v>
      </c>
      <c r="O65" s="292">
        <f t="shared" si="4"/>
        <v>-4300</v>
      </c>
    </row>
    <row r="66" spans="1:15" ht="23.25" customHeight="1" thickBot="1" x14ac:dyDescent="0.3">
      <c r="A66" s="109"/>
      <c r="B66" s="110" t="s">
        <v>754</v>
      </c>
      <c r="C66" s="301">
        <f>SUBTOTAL(9,Tabelle5132428[Teilnahmebeiträge Veranstaltungen])</f>
        <v>0</v>
      </c>
      <c r="D66" s="425">
        <f>SUBTOTAL(9,Tabelle5132428[Sonstige Einnahmen])</f>
        <v>0</v>
      </c>
      <c r="E66" s="426">
        <f>SUBTOTAL(9,Tabelle5132428[Aufwandsentschädigungen])</f>
        <v>500</v>
      </c>
      <c r="F66" s="426">
        <f>SUBTOTAL(9,Tabelle5132428[Interne Reisekosten])</f>
        <v>1000</v>
      </c>
      <c r="G66" s="426">
        <f>SUBTOTAL(9,Tabelle5132428[Raum + Unterkunft intern])</f>
        <v>200</v>
      </c>
      <c r="H66" s="426">
        <f>SUBTOTAL(9,Tabelle5132428[Repräsentation/Bewirtung intern])</f>
        <v>200</v>
      </c>
      <c r="I66" s="426">
        <f>SUBTOTAL(9,Tabelle5132428[Repräsentation/Bewirtung extern])</f>
        <v>200</v>
      </c>
      <c r="J66" s="426">
        <f>SUBTOTAL(9,Tabelle5132428[Raum + Unterkunft extern])</f>
        <v>200</v>
      </c>
      <c r="K66" s="426">
        <f>SUBTOTAL(9,Tabelle5132428[Druckkosten])</f>
        <v>0</v>
      </c>
      <c r="L66" s="426">
        <f>SUBTOTAL(9,Tabelle5132428[Sonstige Kosten])</f>
        <v>3000</v>
      </c>
      <c r="M66" s="426">
        <f>SUBTOTAL(9,Tabelle5132428[Rechtsangelegenheiten])</f>
        <v>1000</v>
      </c>
      <c r="N66" s="426">
        <f>SUBTOTAL(109,Tabelle5132428[Andere Honorare])</f>
        <v>2500</v>
      </c>
      <c r="O66" s="763">
        <f>SUBTOTAL(9,Tabelle5132428[Gesamt])</f>
        <v>-8800</v>
      </c>
    </row>
    <row r="67" spans="1:15" ht="18.75" x14ac:dyDescent="0.3">
      <c r="A67" s="11"/>
    </row>
    <row r="68" spans="1:15" ht="15.75" x14ac:dyDescent="0.25">
      <c r="A68" s="7"/>
      <c r="B68" s="7" t="s">
        <v>813</v>
      </c>
      <c r="D68" s="6" t="s">
        <v>797</v>
      </c>
    </row>
    <row r="69" spans="1:15" ht="19.5" thickBot="1" x14ac:dyDescent="0.35">
      <c r="A69" s="11"/>
    </row>
    <row r="70" spans="1:15" ht="16.5" thickTop="1" thickBot="1" x14ac:dyDescent="0.3">
      <c r="A70" s="111"/>
      <c r="B70" s="143"/>
      <c r="C70" s="144"/>
      <c r="D70" s="147" t="s">
        <v>679</v>
      </c>
      <c r="E70" s="112" t="s">
        <v>139</v>
      </c>
      <c r="F70" s="113" t="s">
        <v>247</v>
      </c>
      <c r="G70" s="113" t="s">
        <v>273</v>
      </c>
      <c r="H70" s="113" t="s">
        <v>300</v>
      </c>
      <c r="I70" s="114"/>
    </row>
    <row r="71" spans="1:15" ht="39.75" thickBot="1" x14ac:dyDescent="0.3">
      <c r="A71" s="115" t="s">
        <v>814</v>
      </c>
      <c r="B71" s="115" t="s">
        <v>815</v>
      </c>
      <c r="C71" s="146" t="s">
        <v>816</v>
      </c>
      <c r="D71" s="115" t="s">
        <v>556</v>
      </c>
      <c r="E71" s="414" t="s">
        <v>806</v>
      </c>
      <c r="F71" s="415" t="s">
        <v>667</v>
      </c>
      <c r="G71" s="415" t="s">
        <v>807</v>
      </c>
      <c r="H71" s="415" t="s">
        <v>808</v>
      </c>
      <c r="I71" s="416" t="s">
        <v>630</v>
      </c>
    </row>
    <row r="72" spans="1:15" s="84" customFormat="1" outlineLevel="1" x14ac:dyDescent="0.25">
      <c r="A72" s="288">
        <f t="shared" ref="A72:A88" si="5">ROW(A1)</f>
        <v>1</v>
      </c>
      <c r="B72" s="288" t="s">
        <v>827</v>
      </c>
      <c r="C72" s="288"/>
      <c r="D72" s="288" t="s">
        <v>822</v>
      </c>
      <c r="E72" s="420">
        <v>700</v>
      </c>
      <c r="F72" s="421">
        <v>1000</v>
      </c>
      <c r="G72" s="421">
        <v>250</v>
      </c>
      <c r="H72" s="421">
        <v>10</v>
      </c>
      <c r="I72" s="312">
        <f>SUM(E72:H72)</f>
        <v>1960</v>
      </c>
    </row>
    <row r="73" spans="1:15" s="84" customFormat="1" outlineLevel="1" x14ac:dyDescent="0.25">
      <c r="A73" s="288">
        <f t="shared" si="5"/>
        <v>2</v>
      </c>
      <c r="B73" s="288" t="s">
        <v>827</v>
      </c>
      <c r="C73" s="288"/>
      <c r="D73" s="288" t="s">
        <v>828</v>
      </c>
      <c r="E73" s="286">
        <v>300</v>
      </c>
      <c r="F73" s="287">
        <v>0</v>
      </c>
      <c r="G73" s="287">
        <v>0</v>
      </c>
      <c r="H73" s="287">
        <v>0</v>
      </c>
      <c r="I73" s="292">
        <f>SUM(E73:H73)</f>
        <v>300</v>
      </c>
    </row>
    <row r="74" spans="1:15" s="84" customFormat="1" outlineLevel="1" x14ac:dyDescent="0.25">
      <c r="A74" s="288">
        <f t="shared" si="5"/>
        <v>3</v>
      </c>
      <c r="B74" s="288" t="s">
        <v>827</v>
      </c>
      <c r="C74" s="288"/>
      <c r="D74" s="288" t="s">
        <v>822</v>
      </c>
      <c r="E74" s="286">
        <v>700</v>
      </c>
      <c r="F74" s="287">
        <v>1000</v>
      </c>
      <c r="G74" s="287">
        <v>250</v>
      </c>
      <c r="H74" s="287">
        <v>10</v>
      </c>
      <c r="I74" s="292">
        <f>SUM(E74:H74)</f>
        <v>1960</v>
      </c>
    </row>
    <row r="75" spans="1:15" s="84" customFormat="1" outlineLevel="1" x14ac:dyDescent="0.25">
      <c r="A75" s="288">
        <f t="shared" si="5"/>
        <v>4</v>
      </c>
      <c r="B75" s="288" t="s">
        <v>827</v>
      </c>
      <c r="C75" s="288"/>
      <c r="D75" s="288" t="s">
        <v>828</v>
      </c>
      <c r="E75" s="286">
        <v>300</v>
      </c>
      <c r="F75" s="287">
        <v>0</v>
      </c>
      <c r="G75" s="287">
        <v>0</v>
      </c>
      <c r="H75" s="287">
        <v>0</v>
      </c>
      <c r="I75" s="292">
        <f>SUM(E75:H75)</f>
        <v>300</v>
      </c>
    </row>
    <row r="76" spans="1:15" s="84" customFormat="1" outlineLevel="1" x14ac:dyDescent="0.25">
      <c r="A76" s="288">
        <f t="shared" si="5"/>
        <v>5</v>
      </c>
      <c r="B76" s="288" t="s">
        <v>827</v>
      </c>
      <c r="C76" s="288"/>
      <c r="D76" s="288" t="s">
        <v>828</v>
      </c>
      <c r="E76" s="286">
        <v>300</v>
      </c>
      <c r="F76" s="287">
        <v>0</v>
      </c>
      <c r="G76" s="287">
        <v>0</v>
      </c>
      <c r="H76" s="287">
        <v>0</v>
      </c>
      <c r="I76" s="292">
        <f t="shared" ref="I76:I77" si="6">SUM(E76:H76)</f>
        <v>300</v>
      </c>
    </row>
    <row r="77" spans="1:15" s="84" customFormat="1" outlineLevel="1" x14ac:dyDescent="0.25">
      <c r="A77" s="288">
        <f t="shared" si="5"/>
        <v>6</v>
      </c>
      <c r="B77" s="288" t="s">
        <v>827</v>
      </c>
      <c r="C77" s="288"/>
      <c r="D77" s="288" t="s">
        <v>828</v>
      </c>
      <c r="E77" s="286">
        <v>300</v>
      </c>
      <c r="F77" s="287">
        <v>0</v>
      </c>
      <c r="G77" s="287">
        <v>0</v>
      </c>
      <c r="H77" s="287">
        <v>0</v>
      </c>
      <c r="I77" s="292">
        <f t="shared" si="6"/>
        <v>300</v>
      </c>
    </row>
    <row r="78" spans="1:15" s="84" customFormat="1" outlineLevel="1" x14ac:dyDescent="0.25">
      <c r="A78" s="288">
        <f t="shared" si="5"/>
        <v>7</v>
      </c>
      <c r="B78" s="288"/>
      <c r="C78" s="288"/>
      <c r="D78" s="288"/>
      <c r="E78" s="286"/>
      <c r="F78" s="287"/>
      <c r="G78" s="287"/>
      <c r="H78" s="287"/>
      <c r="I78" s="292"/>
    </row>
    <row r="79" spans="1:15" s="84" customFormat="1" outlineLevel="1" x14ac:dyDescent="0.25">
      <c r="A79" s="288">
        <f t="shared" si="5"/>
        <v>8</v>
      </c>
      <c r="B79" s="288"/>
      <c r="C79" s="288"/>
      <c r="D79" s="288"/>
      <c r="E79" s="286"/>
      <c r="F79" s="287"/>
      <c r="G79" s="287"/>
      <c r="H79" s="287"/>
      <c r="I79" s="292"/>
    </row>
    <row r="80" spans="1:15" s="84" customFormat="1" outlineLevel="1" x14ac:dyDescent="0.25">
      <c r="A80" s="288">
        <f t="shared" si="5"/>
        <v>9</v>
      </c>
      <c r="B80" s="288"/>
      <c r="C80" s="288"/>
      <c r="D80" s="288"/>
      <c r="E80" s="286"/>
      <c r="F80" s="287"/>
      <c r="G80" s="287"/>
      <c r="H80" s="287"/>
      <c r="I80" s="292"/>
    </row>
    <row r="81" spans="1:9" s="84" customFormat="1" outlineLevel="1" x14ac:dyDescent="0.25">
      <c r="A81" s="288">
        <f t="shared" si="5"/>
        <v>10</v>
      </c>
      <c r="B81" s="288"/>
      <c r="C81" s="288"/>
      <c r="D81" s="288"/>
      <c r="E81" s="286"/>
      <c r="F81" s="287"/>
      <c r="G81" s="287"/>
      <c r="H81" s="287"/>
      <c r="I81" s="292"/>
    </row>
    <row r="82" spans="1:9" s="84" customFormat="1" outlineLevel="1" x14ac:dyDescent="0.25">
      <c r="A82" s="288">
        <f t="shared" si="5"/>
        <v>11</v>
      </c>
      <c r="B82" s="288"/>
      <c r="C82" s="288"/>
      <c r="D82" s="288"/>
      <c r="E82" s="286"/>
      <c r="F82" s="287"/>
      <c r="G82" s="287"/>
      <c r="H82" s="287"/>
      <c r="I82" s="292"/>
    </row>
    <row r="83" spans="1:9" s="84" customFormat="1" outlineLevel="1" x14ac:dyDescent="0.25">
      <c r="A83" s="288">
        <f t="shared" si="5"/>
        <v>12</v>
      </c>
      <c r="B83" s="288"/>
      <c r="C83" s="288"/>
      <c r="D83" s="288"/>
      <c r="E83" s="286"/>
      <c r="F83" s="287"/>
      <c r="G83" s="287"/>
      <c r="H83" s="287"/>
      <c r="I83" s="292"/>
    </row>
    <row r="84" spans="1:9" s="84" customFormat="1" outlineLevel="1" x14ac:dyDescent="0.25">
      <c r="A84" s="288">
        <f t="shared" si="5"/>
        <v>13</v>
      </c>
      <c r="B84" s="288"/>
      <c r="C84" s="288"/>
      <c r="D84" s="288"/>
      <c r="E84" s="286"/>
      <c r="F84" s="287"/>
      <c r="G84" s="287"/>
      <c r="H84" s="287"/>
      <c r="I84" s="292"/>
    </row>
    <row r="85" spans="1:9" s="84" customFormat="1" outlineLevel="1" x14ac:dyDescent="0.25">
      <c r="A85" s="288">
        <f t="shared" si="5"/>
        <v>14</v>
      </c>
      <c r="B85" s="288" t="s">
        <v>837</v>
      </c>
      <c r="C85" s="288"/>
      <c r="D85" s="288" t="s">
        <v>822</v>
      </c>
      <c r="E85" s="286">
        <v>300</v>
      </c>
      <c r="F85" s="287">
        <v>1000</v>
      </c>
      <c r="G85" s="287">
        <v>500</v>
      </c>
      <c r="H85" s="287">
        <v>100</v>
      </c>
      <c r="I85" s="292">
        <f>SUM(E85:H85)</f>
        <v>1900</v>
      </c>
    </row>
    <row r="86" spans="1:9" s="84" customFormat="1" outlineLevel="1" x14ac:dyDescent="0.25">
      <c r="A86" s="288">
        <f t="shared" si="5"/>
        <v>15</v>
      </c>
      <c r="B86" s="288"/>
      <c r="C86" s="288"/>
      <c r="D86" s="288"/>
      <c r="E86" s="286"/>
      <c r="F86" s="287"/>
      <c r="G86" s="287"/>
      <c r="H86" s="287"/>
      <c r="I86" s="292">
        <f t="shared" ref="I86:I87" si="7">SUM(E86:H86)</f>
        <v>0</v>
      </c>
    </row>
    <row r="87" spans="1:9" outlineLevel="1" x14ac:dyDescent="0.25">
      <c r="A87" s="101">
        <f t="shared" si="5"/>
        <v>16</v>
      </c>
      <c r="B87" s="116" t="s">
        <v>823</v>
      </c>
      <c r="C87" s="116"/>
      <c r="D87" s="116"/>
      <c r="E87" s="131">
        <f>Tabelle5132428[[#Totals],[Aufwandsentschädigungen]]</f>
        <v>500</v>
      </c>
      <c r="F87" s="132">
        <f>Tabelle5132428[[#Totals],[Interne Reisekosten]]</f>
        <v>1000</v>
      </c>
      <c r="G87" s="132">
        <f>Tabelle5132428[[#Totals],[Raum + Unterkunft intern]]</f>
        <v>200</v>
      </c>
      <c r="H87" s="132">
        <f>Tabelle5132428[[#Totals],[Repräsentation/Bewirtung intern]]</f>
        <v>200</v>
      </c>
      <c r="I87" s="293">
        <f t="shared" si="7"/>
        <v>1900</v>
      </c>
    </row>
    <row r="88" spans="1:9" s="84" customFormat="1" ht="15.75" customHeight="1" outlineLevel="1" thickBot="1" x14ac:dyDescent="0.3">
      <c r="A88" s="288">
        <f t="shared" si="5"/>
        <v>17</v>
      </c>
      <c r="B88" s="289" t="s">
        <v>629</v>
      </c>
      <c r="C88" s="289"/>
      <c r="D88" s="289" t="s">
        <v>824</v>
      </c>
      <c r="E88" s="290">
        <v>1000</v>
      </c>
      <c r="F88" s="291">
        <v>2000</v>
      </c>
      <c r="G88" s="291">
        <v>500</v>
      </c>
      <c r="H88" s="291">
        <v>200</v>
      </c>
      <c r="I88" s="294">
        <f>SUM(E88:H88)</f>
        <v>3700</v>
      </c>
    </row>
    <row r="89" spans="1:9" ht="23.25" customHeight="1" thickBot="1" x14ac:dyDescent="0.3">
      <c r="A89" s="101"/>
      <c r="B89" s="101"/>
      <c r="C89" s="101"/>
      <c r="D89" s="110" t="s">
        <v>754</v>
      </c>
      <c r="E89" s="303">
        <f>SUBTOTAL(9,Tabelle6152529[Aufwandsentschädigungen])</f>
        <v>4400</v>
      </c>
      <c r="F89" s="426">
        <f>SUBTOTAL(9,Tabelle6152529[Interne Reisekosten])</f>
        <v>6000</v>
      </c>
      <c r="G89" s="426">
        <f>SUBTOTAL(9,Tabelle6152529[Raum + Unterkunft intern])</f>
        <v>1700</v>
      </c>
      <c r="H89" s="426">
        <f>SUBTOTAL(9,Tabelle6152529[Repräsentation/Bewirtung intern])</f>
        <v>520</v>
      </c>
      <c r="I89" s="423">
        <f>SUBTOTAL(9,Tabelle6152529[Gesamt])</f>
        <v>12620</v>
      </c>
    </row>
  </sheetData>
  <sheetProtection insertRows="0" insertHyperlinks="0" selectLockedCells="1" sort="0" autoFilter="0" pivotTables="0"/>
  <hyperlinks>
    <hyperlink ref="C48" location="ReWi!F5" display="ReWi!F5"/>
    <hyperlink ref="D48" location="ReWi!F6" display="ReWi!F6"/>
    <hyperlink ref="E48" location="ReWi!F7" display="ReWi!F7"/>
    <hyperlink ref="C66" location="ReWi!F6" display="ReWi!F6"/>
    <hyperlink ref="D66" location="ReWi!F7" display="ReWi!F7"/>
    <hyperlink ref="E66" location="ReWi!F11" display="ReWi!F11"/>
    <hyperlink ref="E89" location="ReWi!F11" display="ReWi!F11"/>
    <hyperlink ref="F66" location="ReWi!F12" display="ReWi!F12"/>
    <hyperlink ref="F89" location="ReWi!F12" display="ReWi!F12"/>
    <hyperlink ref="G66" location="ReWi!F13" display="ReWi!F13"/>
    <hyperlink ref="G89" location="ReWi!F13" display="ReWi!F13"/>
    <hyperlink ref="H66" location="ReWi!F14" display="ReWi!F14"/>
    <hyperlink ref="H89" location="ReWi!F14" display="ReWi!F14"/>
    <hyperlink ref="F48" location="ReWi!F15" display="ReWi!F15"/>
    <hyperlink ref="G48" location="ReWi!F16" display="ReWi!F16"/>
    <hyperlink ref="I66" location="ReWi!F18" display="ReWi!F18"/>
    <hyperlink ref="J66" location="ReWi!F19" display="ReWi!F19"/>
    <hyperlink ref="K66" location="ReWi!F20" display="ReWi!F20"/>
    <hyperlink ref="H48" location="ReWi!F17" display="ReWi!F17"/>
    <hyperlink ref="I48" location="ReWi!F18" display="ReWi!F18"/>
    <hyperlink ref="J48" location="ReWi!F19" display="ReWi!F19"/>
    <hyperlink ref="K48" location="ReWi!F20" display="ReWi!F20"/>
    <hyperlink ref="L66" location="ReWi!F21" display="ReWi!F21"/>
    <hyperlink ref="M66" location="ReWi!F22" display="ReWi!F22"/>
    <hyperlink ref="B11" location="Rewi_AE_var" display="AE variabel"/>
    <hyperlink ref="B12" location="Rewi_RK_Int." display="Fahrtkosten und Verpflegungspauschalen"/>
    <hyperlink ref="B13" location="Rewi_R_U_Int." display="Raum- und Unterkunftskosten"/>
    <hyperlink ref="B14" location="Rewi_Bew.Int." display="Bewirtung und Repräsentation intern"/>
    <hyperlink ref="B15" location="Rewi_Hon_I" display="Honorare Fachseminare"/>
    <hyperlink ref="B16" location="Rewi_Hon_II" display="Andere Honorare"/>
    <hyperlink ref="B17" location="Rewi_Ext.RK" display="Ext. Reisekosten"/>
    <hyperlink ref="B18" location="Rewi_Bew.Ext." display="Bewirtung und Repräsentation extern"/>
    <hyperlink ref="B19" location="Rewi_R_U_Ext." display="Raum- und Unterkunftskosten Seminare und Veranst."/>
    <hyperlink ref="B20" location="Rewi_Druck" display="Druckkosten"/>
    <hyperlink ref="B21" location="Rewi_Sonst." display="Sonstige Kosten (Lizenzen, Allg. Geschäftsbetrieb)"/>
    <hyperlink ref="B22" location="Rechtsk.FSen" display="Rechtsangelegenheiten"/>
    <hyperlink ref="B7" location="Rewi_Sonst_Einnahmen" display="Sonstige Einnahmen (Vorauszahlungen Bewirtung, Werbung, …)"/>
    <hyperlink ref="B6" location="Rewi_TN_Beiträge_II" display="Teilnahmebeiträge Veranstaltungen"/>
    <hyperlink ref="B5" location="Rewi_TN_Beiträge_I" display="Teilnahmebeiträge Seminare"/>
    <hyperlink ref="F11" location="AEFKRewi_413.21" display="AEFKRewi_413.21"/>
    <hyperlink ref="F12" location="AEFKRewi_527.40" display="AEFKRewi_527.40"/>
    <hyperlink ref="F13" location="AEFKRewi_529.40" display="AEFKRewi_529.40"/>
    <hyperlink ref="F14" location="AEFKRewi_531.40" display="AEFKRewi_531.40"/>
    <hyperlink ref="F15" location="SemRewi_551.10" display="SemRewi_551.10"/>
    <hyperlink ref="F17" location="SemRewi_551.30" display="SemRewi_551.30"/>
    <hyperlink ref="F18" location="SemRewi_551.40" display="SemRewi_551.40"/>
    <hyperlink ref="F19" location="SemRewi_551.50" display="SemRewi_551.50"/>
    <hyperlink ref="F20" location="MaßnRewi_551.60" display="MaßnRewi_551.60"/>
    <hyperlink ref="F21" location="MaßnRewi_551.70" display="MaßnRewi_551.70"/>
    <hyperlink ref="F22" location="MaßnRewi_560.70" display="MaßnRewi_560.70"/>
    <hyperlink ref="F5" location="SemRewi_210.10" display="SemRewi_210.10"/>
    <hyperlink ref="F6" location="MaßnRewi_220.10" display="MaßnRewi_220.10"/>
    <hyperlink ref="F7" location="MaßnRewi_230.10" display="MaßnRewi_230.10"/>
  </hyperlinks>
  <pageMargins left="0.7" right="0.7" top="0.78740157499999996" bottom="0.78740157499999996" header="0.3" footer="0.3"/>
  <pageSetup paperSize="9" orientation="landscape" verticalDpi="0" r:id="rId1"/>
  <legacyDrawing r:id="rId2"/>
  <tableParts count="4">
    <tablePart r:id="rId3"/>
    <tablePart r:id="rId4"/>
    <tablePart r:id="rId5"/>
    <tablePart r:id="rId6"/>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O80"/>
  <sheetViews>
    <sheetView showGridLines="0" zoomScale="96" zoomScaleNormal="96" workbookViewId="0"/>
  </sheetViews>
  <sheetFormatPr baseColWidth="10" defaultColWidth="11.42578125" defaultRowHeight="15" outlineLevelRow="1" x14ac:dyDescent="0.25"/>
  <cols>
    <col min="1" max="1" width="10.28515625" customWidth="1"/>
    <col min="2" max="2" width="29.28515625" customWidth="1"/>
    <col min="3" max="3" width="16.42578125" customWidth="1"/>
    <col min="4" max="4" width="15.85546875" customWidth="1"/>
    <col min="5" max="5" width="16" customWidth="1"/>
    <col min="6" max="6" width="14" customWidth="1"/>
    <col min="7" max="7" width="12.85546875" customWidth="1"/>
    <col min="8" max="8" width="13.28515625" customWidth="1"/>
    <col min="9" max="9" width="12.140625" customWidth="1"/>
    <col min="10" max="10" width="13.5703125" customWidth="1"/>
    <col min="11" max="11" width="12" customWidth="1"/>
  </cols>
  <sheetData>
    <row r="1" spans="1:10" ht="18.75" x14ac:dyDescent="0.3">
      <c r="A1" s="11"/>
      <c r="B1" s="7" t="s">
        <v>838</v>
      </c>
    </row>
    <row r="2" spans="1:10" ht="19.5" customHeight="1" thickBot="1" x14ac:dyDescent="0.3"/>
    <row r="3" spans="1:10" s="257" customFormat="1" ht="34.5" customHeight="1" thickBot="1" x14ac:dyDescent="0.3">
      <c r="A3" s="258" t="s">
        <v>2</v>
      </c>
      <c r="B3" s="424" t="s">
        <v>5</v>
      </c>
      <c r="C3" s="399" t="s">
        <v>775</v>
      </c>
      <c r="D3" s="400" t="s">
        <v>776</v>
      </c>
      <c r="E3" s="401" t="s">
        <v>777</v>
      </c>
      <c r="F3" s="401" t="s">
        <v>778</v>
      </c>
      <c r="G3" s="253" t="s">
        <v>779</v>
      </c>
      <c r="H3" s="255" t="s">
        <v>8</v>
      </c>
      <c r="I3" s="256" t="s">
        <v>780</v>
      </c>
      <c r="J3" s="401" t="s">
        <v>781</v>
      </c>
    </row>
    <row r="4" spans="1:10" ht="18.75" customHeight="1" x14ac:dyDescent="0.25">
      <c r="A4" s="185" t="s">
        <v>782</v>
      </c>
      <c r="B4" s="186"/>
      <c r="C4" s="186"/>
      <c r="D4" s="186"/>
      <c r="E4" s="188"/>
      <c r="F4" s="187"/>
      <c r="G4" s="188"/>
      <c r="H4" s="189"/>
      <c r="I4" s="53"/>
      <c r="J4" s="83"/>
    </row>
    <row r="5" spans="1:10" x14ac:dyDescent="0.25">
      <c r="A5" s="190" t="s">
        <v>82</v>
      </c>
      <c r="B5" s="232" t="s">
        <v>673</v>
      </c>
      <c r="C5" s="149"/>
      <c r="D5" s="149"/>
      <c r="E5" s="281">
        <v>19572.5</v>
      </c>
      <c r="F5" s="173">
        <f>Tabelle410232731[[#Totals],[Teilnahmebeiträge Fachseminare]]</f>
        <v>19572.5</v>
      </c>
      <c r="G5" s="171">
        <v>4500</v>
      </c>
      <c r="H5" s="149"/>
      <c r="I5" s="191"/>
      <c r="J5" s="149"/>
    </row>
    <row r="6" spans="1:10" x14ac:dyDescent="0.25">
      <c r="A6" s="190" t="s">
        <v>90</v>
      </c>
      <c r="B6" s="232" t="s">
        <v>674</v>
      </c>
      <c r="C6" s="149"/>
      <c r="D6" s="149"/>
      <c r="E6" s="281">
        <v>0</v>
      </c>
      <c r="F6" s="173">
        <f>Tabelle410232731[[#Totals],[Teilnahmebeiträge Veranstaltungen]]+Tabelle513242832[[#Totals],[Teilnahmebeiträge Veranstaltungen]]</f>
        <v>0</v>
      </c>
      <c r="G6" s="171">
        <v>0</v>
      </c>
      <c r="H6" s="149"/>
      <c r="I6" s="191"/>
      <c r="J6" s="149"/>
    </row>
    <row r="7" spans="1:10" ht="15.75" thickBot="1" x14ac:dyDescent="0.3">
      <c r="A7" s="190" t="s">
        <v>97</v>
      </c>
      <c r="B7" s="232" t="s">
        <v>783</v>
      </c>
      <c r="C7" s="149"/>
      <c r="D7" s="149"/>
      <c r="E7" s="281">
        <v>0</v>
      </c>
      <c r="F7" s="173">
        <f>Tabelle410232731[[#Totals],[Sonstige Einnahmen]]+Tabelle513242832[[#Totals],[Sonstige Einnahmen]]</f>
        <v>0</v>
      </c>
      <c r="G7" s="171">
        <v>0</v>
      </c>
      <c r="H7" s="149"/>
      <c r="I7" s="191"/>
      <c r="J7" s="149"/>
    </row>
    <row r="8" spans="1:10" ht="15.75" thickBot="1" x14ac:dyDescent="0.3">
      <c r="A8" s="192"/>
      <c r="B8" s="193"/>
      <c r="C8" s="193"/>
      <c r="D8" s="193" t="s">
        <v>579</v>
      </c>
      <c r="E8" s="175">
        <f>SUBTOTAL(9,E5:E7)</f>
        <v>19572.5</v>
      </c>
      <c r="F8" s="175">
        <f>SUBTOTAL(9,F5:F7)</f>
        <v>19572.5</v>
      </c>
      <c r="G8" s="174">
        <f>SUBTOTAL(9,G5:G7)</f>
        <v>4500</v>
      </c>
      <c r="H8" s="427"/>
      <c r="I8" s="194"/>
      <c r="J8" s="404"/>
    </row>
    <row r="9" spans="1:10" ht="18.75" customHeight="1" x14ac:dyDescent="0.25">
      <c r="A9" s="195" t="s">
        <v>122</v>
      </c>
      <c r="B9" s="196"/>
      <c r="C9" s="196"/>
      <c r="D9" s="196"/>
      <c r="E9" s="176"/>
      <c r="F9" s="177"/>
      <c r="G9" s="176"/>
      <c r="H9" s="196"/>
      <c r="I9" s="197"/>
      <c r="J9" s="149"/>
    </row>
    <row r="10" spans="1:10" x14ac:dyDescent="0.25">
      <c r="A10" s="198" t="s">
        <v>137</v>
      </c>
      <c r="B10" s="149" t="s">
        <v>784</v>
      </c>
      <c r="C10" s="149"/>
      <c r="D10" s="149"/>
      <c r="E10" s="282">
        <v>9600</v>
      </c>
      <c r="F10" s="179">
        <f>800*12</f>
        <v>9600</v>
      </c>
      <c r="G10" s="178">
        <f>800*12</f>
        <v>9600</v>
      </c>
      <c r="H10" s="149"/>
      <c r="I10" s="191"/>
      <c r="J10" s="149"/>
    </row>
    <row r="11" spans="1:10" x14ac:dyDescent="0.25">
      <c r="A11" s="198" t="s">
        <v>150</v>
      </c>
      <c r="B11" s="232" t="s">
        <v>785</v>
      </c>
      <c r="C11" s="149"/>
      <c r="D11" s="149"/>
      <c r="E11" s="281">
        <v>2300</v>
      </c>
      <c r="F11" s="173">
        <f>Tabelle615252933[[#Totals],[Aufwandsentschädigungen]]</f>
        <v>2220</v>
      </c>
      <c r="G11" s="171">
        <v>3400</v>
      </c>
      <c r="H11" s="149"/>
      <c r="I11" s="191"/>
      <c r="J11" s="149"/>
    </row>
    <row r="12" spans="1:10" x14ac:dyDescent="0.25">
      <c r="A12" s="198" t="s">
        <v>1265</v>
      </c>
      <c r="B12" s="232" t="s">
        <v>787</v>
      </c>
      <c r="C12" s="149"/>
      <c r="D12" s="149"/>
      <c r="E12" s="281">
        <v>2000</v>
      </c>
      <c r="F12" s="173">
        <f>Tabelle615252933[[#Totals],[Interne Reisekosten]]</f>
        <v>1900</v>
      </c>
      <c r="G12" s="171">
        <v>4000</v>
      </c>
      <c r="H12" s="149"/>
      <c r="I12" s="191"/>
      <c r="J12" s="149"/>
    </row>
    <row r="13" spans="1:10" ht="15" customHeight="1" x14ac:dyDescent="0.25">
      <c r="A13" s="198" t="s">
        <v>286</v>
      </c>
      <c r="B13" s="232" t="s">
        <v>788</v>
      </c>
      <c r="C13" s="199"/>
      <c r="D13" s="199"/>
      <c r="E13" s="281">
        <v>1150</v>
      </c>
      <c r="F13" s="200">
        <f>Tabelle615252933[[#Totals],[Raum + Unterkunft intern]]</f>
        <v>1150</v>
      </c>
      <c r="G13" s="171">
        <v>1000</v>
      </c>
      <c r="H13" s="199"/>
      <c r="I13" s="201"/>
      <c r="J13" s="149"/>
    </row>
    <row r="14" spans="1:10" x14ac:dyDescent="0.25">
      <c r="A14" s="198" t="s">
        <v>308</v>
      </c>
      <c r="B14" s="234" t="s">
        <v>789</v>
      </c>
      <c r="C14" s="83"/>
      <c r="D14" s="83"/>
      <c r="E14" s="281">
        <v>650</v>
      </c>
      <c r="F14" s="170">
        <f>Tabelle615252933[[#Totals],[Repräsentation/Bewirtung intern]]</f>
        <v>650</v>
      </c>
      <c r="G14" s="171">
        <v>250</v>
      </c>
      <c r="H14" s="83"/>
      <c r="I14" s="202"/>
      <c r="J14" s="83"/>
    </row>
    <row r="15" spans="1:10" x14ac:dyDescent="0.25">
      <c r="A15" s="745" t="s">
        <v>356</v>
      </c>
      <c r="B15" s="232" t="s">
        <v>790</v>
      </c>
      <c r="C15" s="149"/>
      <c r="D15" s="149"/>
      <c r="E15" s="738">
        <v>17200</v>
      </c>
      <c r="F15" s="173">
        <f>Tabelle410232731[[#Totals],[Honorare Dozierende Fachseminare]]</f>
        <v>17152.5</v>
      </c>
      <c r="G15" s="739">
        <v>11200</v>
      </c>
      <c r="H15" s="149"/>
      <c r="I15" s="191"/>
      <c r="J15" s="149"/>
    </row>
    <row r="16" spans="1:10" x14ac:dyDescent="0.25">
      <c r="A16" s="745" t="s">
        <v>367</v>
      </c>
      <c r="B16" s="233" t="s">
        <v>329</v>
      </c>
      <c r="C16" s="741"/>
      <c r="D16" s="741"/>
      <c r="E16" s="738">
        <v>1000</v>
      </c>
      <c r="F16" s="746">
        <f>Tabelle513242832[[#Totals],[Andere Honorare]]</f>
        <v>1000</v>
      </c>
      <c r="G16" s="739">
        <v>1800</v>
      </c>
      <c r="H16" s="741"/>
      <c r="I16" s="742"/>
      <c r="J16" s="741"/>
    </row>
    <row r="17" spans="1:11" x14ac:dyDescent="0.25">
      <c r="A17" s="745" t="s">
        <v>374</v>
      </c>
      <c r="B17" s="233" t="s">
        <v>791</v>
      </c>
      <c r="C17" s="741"/>
      <c r="D17" s="741"/>
      <c r="E17" s="738">
        <v>200</v>
      </c>
      <c r="F17" s="746">
        <f>Tabelle410232731[[#Totals],[Externe Reisekosten]]</f>
        <v>200</v>
      </c>
      <c r="G17" s="739">
        <v>2000</v>
      </c>
      <c r="H17" s="741"/>
      <c r="I17" s="742"/>
      <c r="J17" s="741"/>
    </row>
    <row r="18" spans="1:11" x14ac:dyDescent="0.25">
      <c r="A18" s="745" t="s">
        <v>1266</v>
      </c>
      <c r="B18" s="233" t="s">
        <v>376</v>
      </c>
      <c r="C18" s="741"/>
      <c r="D18" s="741"/>
      <c r="E18" s="738">
        <v>250</v>
      </c>
      <c r="F18" s="746">
        <f>Tabelle410232731[[#Totals],[Repräsentation/Bewirtung extern]]+Tabelle513242832[[#Totals],[Repräsentation/Bewirtung extern]]</f>
        <v>310</v>
      </c>
      <c r="G18" s="739">
        <v>200</v>
      </c>
      <c r="H18" s="741"/>
      <c r="I18" s="742"/>
      <c r="J18" s="741"/>
    </row>
    <row r="19" spans="1:11" x14ac:dyDescent="0.25">
      <c r="A19" s="745" t="s">
        <v>385</v>
      </c>
      <c r="B19" s="233" t="s">
        <v>792</v>
      </c>
      <c r="C19" s="741"/>
      <c r="D19" s="741"/>
      <c r="E19" s="738">
        <v>100</v>
      </c>
      <c r="F19" s="746">
        <f>Tabelle410232731[[#Totals],[Raum + Unterkunft extern]]+Tabelle513242832[[#Totals],[Raum + Unterkunft extern]]</f>
        <v>100</v>
      </c>
      <c r="G19" s="739">
        <v>1500</v>
      </c>
      <c r="H19" s="741"/>
      <c r="I19" s="742"/>
      <c r="J19" s="741"/>
    </row>
    <row r="20" spans="1:11" x14ac:dyDescent="0.25">
      <c r="A20" s="198" t="s">
        <v>407</v>
      </c>
      <c r="B20" s="234" t="s">
        <v>1297</v>
      </c>
      <c r="C20" s="83"/>
      <c r="D20" s="83"/>
      <c r="E20" s="281">
        <v>900</v>
      </c>
      <c r="F20" s="170">
        <f>Tabelle410232731[[#Totals],[Verwaltungs- und Druckkosten]]+Tabelle513242832[[#Totals],[Druckkosten]]</f>
        <v>900</v>
      </c>
      <c r="G20" s="171">
        <v>0</v>
      </c>
      <c r="H20" s="83"/>
      <c r="I20" s="202"/>
      <c r="J20" s="83"/>
    </row>
    <row r="21" spans="1:11" x14ac:dyDescent="0.25">
      <c r="A21" s="198" t="s">
        <v>420</v>
      </c>
      <c r="B21" s="234" t="s">
        <v>410</v>
      </c>
      <c r="C21" s="83"/>
      <c r="D21" s="83"/>
      <c r="E21" s="281">
        <v>1250</v>
      </c>
      <c r="F21" s="170">
        <f>Tabelle513242832[[#Totals],[Sonstige Kosten]]</f>
        <v>1250</v>
      </c>
      <c r="G21" s="171">
        <v>1500</v>
      </c>
      <c r="H21" s="83"/>
      <c r="I21" s="202"/>
      <c r="J21" s="83"/>
    </row>
    <row r="22" spans="1:11" ht="15.75" thickBot="1" x14ac:dyDescent="0.3">
      <c r="A22" s="198" t="s">
        <v>440</v>
      </c>
      <c r="B22" s="234" t="s">
        <v>715</v>
      </c>
      <c r="C22" s="83"/>
      <c r="D22" s="83"/>
      <c r="E22" s="283">
        <v>750</v>
      </c>
      <c r="F22" s="203">
        <f>Tabelle513242832[[#Totals],[Rechtsangelegenheiten]]</f>
        <v>750</v>
      </c>
      <c r="G22" s="182">
        <v>250</v>
      </c>
      <c r="H22" s="83"/>
      <c r="I22" s="202"/>
      <c r="J22" s="83"/>
    </row>
    <row r="23" spans="1:11" ht="15.75" thickBot="1" x14ac:dyDescent="0.3">
      <c r="A23" s="204"/>
      <c r="B23" s="205"/>
      <c r="C23" s="205"/>
      <c r="D23" s="206" t="s">
        <v>579</v>
      </c>
      <c r="E23" s="184">
        <f t="shared" ref="E23:F23" si="0">SUBTOTAL(109,E10:E22)</f>
        <v>37350</v>
      </c>
      <c r="F23" s="184">
        <f t="shared" si="0"/>
        <v>37182.5</v>
      </c>
      <c r="G23" s="184">
        <f>SUBTOTAL(109,G10:G22)</f>
        <v>36700</v>
      </c>
      <c r="H23" s="405"/>
      <c r="I23" s="207"/>
      <c r="J23" s="406"/>
    </row>
    <row r="24" spans="1:11" ht="15.75" thickBot="1" x14ac:dyDescent="0.3">
      <c r="A24" s="81"/>
      <c r="B24" s="83"/>
      <c r="C24" s="83"/>
      <c r="D24" s="83"/>
      <c r="E24" s="83"/>
      <c r="F24" s="83"/>
      <c r="G24" s="83"/>
      <c r="H24" s="83"/>
    </row>
    <row r="25" spans="1:11" ht="15.75" thickBot="1" x14ac:dyDescent="0.3">
      <c r="A25" s="81"/>
      <c r="B25" s="83"/>
      <c r="C25" s="83"/>
      <c r="D25" s="213" t="s">
        <v>793</v>
      </c>
      <c r="E25" s="214">
        <f>E8-Tabelle1822263034[[#Totals],[Freie Eingabe Plan HHJ 22-23]]</f>
        <v>-17777.5</v>
      </c>
      <c r="F25" s="407">
        <f>F8-Tabelle1822263034[[#Totals],[Rechnung HHJ 22-23]]</f>
        <v>-17610</v>
      </c>
      <c r="G25" s="407">
        <f>G8-Tabelle1822263034[[#Totals],[Freie Eingabe Plan HHJ 21-22]]</f>
        <v>-32200</v>
      </c>
      <c r="H25" s="407"/>
      <c r="I25" s="407"/>
      <c r="J25" s="407"/>
      <c r="K25" s="407"/>
    </row>
    <row r="26" spans="1:11" x14ac:dyDescent="0.25">
      <c r="A26" s="80"/>
      <c r="B26" s="79"/>
      <c r="C26" s="79"/>
      <c r="D26" s="79"/>
      <c r="E26" s="79"/>
      <c r="F26" s="79"/>
      <c r="G26" s="79"/>
      <c r="H26" s="79"/>
    </row>
    <row r="27" spans="1:11" ht="15.75" x14ac:dyDescent="0.25">
      <c r="B27" s="117" t="s">
        <v>794</v>
      </c>
      <c r="C27" s="79"/>
      <c r="D27" s="79"/>
      <c r="E27" s="91"/>
      <c r="F27" s="79"/>
      <c r="G27" s="79"/>
      <c r="H27" s="79"/>
    </row>
    <row r="28" spans="1:11" ht="15.75" x14ac:dyDescent="0.25">
      <c r="B28" s="80" t="s">
        <v>795</v>
      </c>
      <c r="C28" s="79"/>
      <c r="D28" s="79"/>
      <c r="E28" s="91"/>
      <c r="F28" s="79"/>
      <c r="G28" s="79"/>
      <c r="H28" s="79"/>
    </row>
    <row r="29" spans="1:11" x14ac:dyDescent="0.25">
      <c r="B29" s="80" t="s">
        <v>796</v>
      </c>
      <c r="C29" s="83"/>
      <c r="D29" s="83"/>
      <c r="E29" s="92"/>
      <c r="F29" s="83"/>
      <c r="G29" s="83"/>
      <c r="H29" s="83"/>
    </row>
    <row r="30" spans="1:11" x14ac:dyDescent="0.25">
      <c r="A30" s="81"/>
      <c r="B30" s="83"/>
      <c r="C30" s="83"/>
      <c r="D30" s="83"/>
      <c r="E30" s="92"/>
      <c r="F30" s="83"/>
      <c r="G30" s="83"/>
      <c r="H30" s="83"/>
    </row>
    <row r="31" spans="1:11" x14ac:dyDescent="0.25">
      <c r="A31" s="80"/>
      <c r="B31" s="79"/>
      <c r="C31" s="79"/>
      <c r="D31" s="79"/>
      <c r="E31" s="79"/>
      <c r="F31" s="79"/>
      <c r="G31" s="79"/>
      <c r="H31" s="79"/>
    </row>
    <row r="32" spans="1:11" ht="15.75" x14ac:dyDescent="0.25">
      <c r="A32" s="7"/>
      <c r="B32" s="7" t="s">
        <v>1299</v>
      </c>
      <c r="D32" s="6" t="s">
        <v>797</v>
      </c>
    </row>
    <row r="33" spans="1:14" ht="16.5" thickBot="1" x14ac:dyDescent="0.3">
      <c r="A33" s="7"/>
    </row>
    <row r="34" spans="1:14" ht="15.75" thickBot="1" x14ac:dyDescent="0.3">
      <c r="A34" s="408"/>
      <c r="B34" s="409" t="s">
        <v>679</v>
      </c>
      <c r="C34" s="410" t="s">
        <v>82</v>
      </c>
      <c r="D34" s="411" t="s">
        <v>90</v>
      </c>
      <c r="E34" s="411" t="s">
        <v>97</v>
      </c>
      <c r="F34" s="412" t="s">
        <v>356</v>
      </c>
      <c r="G34" s="412"/>
      <c r="H34" s="412" t="s">
        <v>374</v>
      </c>
      <c r="I34" s="412" t="s">
        <v>1266</v>
      </c>
      <c r="J34" s="412" t="s">
        <v>385</v>
      </c>
      <c r="K34" s="412" t="s">
        <v>407</v>
      </c>
      <c r="L34" s="413"/>
    </row>
    <row r="35" spans="1:14" ht="39.75" thickBot="1" x14ac:dyDescent="0.3">
      <c r="A35" s="98" t="s">
        <v>798</v>
      </c>
      <c r="B35" s="142" t="s">
        <v>799</v>
      </c>
      <c r="C35" s="414" t="s">
        <v>800</v>
      </c>
      <c r="D35" s="415" t="s">
        <v>674</v>
      </c>
      <c r="E35" s="415" t="s">
        <v>801</v>
      </c>
      <c r="F35" s="415" t="s">
        <v>326</v>
      </c>
      <c r="G35" s="415" t="s">
        <v>806</v>
      </c>
      <c r="H35" s="415" t="s">
        <v>333</v>
      </c>
      <c r="I35" s="415" t="s">
        <v>802</v>
      </c>
      <c r="J35" s="415" t="s">
        <v>803</v>
      </c>
      <c r="K35" s="415" t="s">
        <v>1290</v>
      </c>
      <c r="L35" s="416" t="s">
        <v>630</v>
      </c>
    </row>
    <row r="36" spans="1:14" s="84" customFormat="1" ht="330" outlineLevel="1" x14ac:dyDescent="0.25">
      <c r="A36" s="93">
        <f t="shared" ref="A36:A41" si="1">ROW(A1)</f>
        <v>1</v>
      </c>
      <c r="B36" s="750" t="s">
        <v>1342</v>
      </c>
      <c r="C36" s="417"/>
      <c r="D36" s="320"/>
      <c r="E36" s="320"/>
      <c r="F36" s="320"/>
      <c r="G36" s="320"/>
      <c r="H36" s="320"/>
      <c r="I36" s="320"/>
      <c r="J36" s="320"/>
      <c r="K36" s="320"/>
      <c r="L36" s="325">
        <f>SUM(C36:E36)-SUM(F36:K36)</f>
        <v>0</v>
      </c>
      <c r="N36" s="748" t="s">
        <v>1362</v>
      </c>
    </row>
    <row r="37" spans="1:14" s="84" customFormat="1" ht="120" outlineLevel="1" x14ac:dyDescent="0.25">
      <c r="A37" s="93">
        <f t="shared" si="1"/>
        <v>2</v>
      </c>
      <c r="B37" s="302" t="s">
        <v>1341</v>
      </c>
      <c r="C37" s="118">
        <v>11586</v>
      </c>
      <c r="D37" s="119"/>
      <c r="E37" s="119"/>
      <c r="F37" s="119">
        <v>10560</v>
      </c>
      <c r="G37" s="119">
        <v>546</v>
      </c>
      <c r="H37" s="119">
        <v>0</v>
      </c>
      <c r="I37" s="119">
        <v>60</v>
      </c>
      <c r="J37" s="119">
        <v>0</v>
      </c>
      <c r="K37" s="119">
        <v>420</v>
      </c>
      <c r="L37" s="120">
        <f t="shared" ref="L37:L45" si="2">SUM(C37:E37)-SUM(F37:K37)</f>
        <v>0</v>
      </c>
    </row>
    <row r="38" spans="1:14" s="84" customFormat="1" ht="135" outlineLevel="1" x14ac:dyDescent="0.25">
      <c r="A38" s="93">
        <f t="shared" si="1"/>
        <v>3</v>
      </c>
      <c r="B38" s="302" t="s">
        <v>1340</v>
      </c>
      <c r="C38" s="118">
        <v>2634</v>
      </c>
      <c r="D38" s="119"/>
      <c r="E38" s="119"/>
      <c r="F38" s="119">
        <v>2392.5</v>
      </c>
      <c r="G38" s="119">
        <v>136.5</v>
      </c>
      <c r="H38" s="119">
        <v>0</v>
      </c>
      <c r="I38" s="119">
        <v>0</v>
      </c>
      <c r="J38" s="119">
        <v>0</v>
      </c>
      <c r="K38" s="119">
        <v>105</v>
      </c>
      <c r="L38" s="120">
        <f t="shared" si="2"/>
        <v>0</v>
      </c>
    </row>
    <row r="39" spans="1:14" s="84" customFormat="1" ht="150" outlineLevel="1" x14ac:dyDescent="0.25">
      <c r="A39" s="93">
        <f t="shared" si="1"/>
        <v>4</v>
      </c>
      <c r="B39" s="302" t="s">
        <v>1358</v>
      </c>
      <c r="C39" s="118">
        <v>2602.5</v>
      </c>
      <c r="D39" s="119"/>
      <c r="E39" s="119"/>
      <c r="F39" s="119">
        <v>2200</v>
      </c>
      <c r="G39" s="119">
        <v>227.5</v>
      </c>
      <c r="H39" s="119">
        <v>0</v>
      </c>
      <c r="I39" s="119">
        <v>0</v>
      </c>
      <c r="J39" s="119">
        <v>0</v>
      </c>
      <c r="K39" s="119">
        <v>175</v>
      </c>
      <c r="L39" s="120">
        <f t="shared" si="2"/>
        <v>0</v>
      </c>
    </row>
    <row r="40" spans="1:14" s="84" customFormat="1" outlineLevel="1" x14ac:dyDescent="0.25">
      <c r="A40" s="93">
        <f t="shared" si="1"/>
        <v>5</v>
      </c>
      <c r="B40" s="302"/>
      <c r="C40" s="118"/>
      <c r="D40" s="119"/>
      <c r="E40" s="119"/>
      <c r="F40" s="119"/>
      <c r="G40" s="119"/>
      <c r="H40" s="119"/>
      <c r="I40" s="119"/>
      <c r="J40" s="119"/>
      <c r="K40" s="119"/>
      <c r="L40" s="120">
        <f t="shared" si="2"/>
        <v>0</v>
      </c>
    </row>
    <row r="41" spans="1:14" s="84" customFormat="1" outlineLevel="1" x14ac:dyDescent="0.25">
      <c r="A41" s="93">
        <f t="shared" si="1"/>
        <v>6</v>
      </c>
      <c r="B41" s="302"/>
      <c r="C41" s="118"/>
      <c r="D41" s="119"/>
      <c r="E41" s="119"/>
      <c r="F41" s="119"/>
      <c r="G41" s="119"/>
      <c r="H41" s="119"/>
      <c r="I41" s="119"/>
      <c r="J41" s="119"/>
      <c r="K41" s="119"/>
      <c r="L41" s="120">
        <f t="shared" si="2"/>
        <v>0</v>
      </c>
    </row>
    <row r="42" spans="1:14" s="84" customFormat="1" outlineLevel="1" x14ac:dyDescent="0.25">
      <c r="A42" s="93">
        <f t="shared" ref="A42:A45" si="3">ROW(A7)</f>
        <v>7</v>
      </c>
      <c r="B42" s="313"/>
      <c r="C42" s="121"/>
      <c r="D42" s="122"/>
      <c r="E42" s="122"/>
      <c r="F42" s="122"/>
      <c r="G42" s="122"/>
      <c r="H42" s="122"/>
      <c r="I42" s="122"/>
      <c r="J42" s="122"/>
      <c r="K42" s="122"/>
      <c r="L42" s="120">
        <f t="shared" si="2"/>
        <v>0</v>
      </c>
    </row>
    <row r="43" spans="1:14" s="84" customFormat="1" outlineLevel="1" x14ac:dyDescent="0.25">
      <c r="A43" s="93">
        <f t="shared" si="3"/>
        <v>8</v>
      </c>
      <c r="B43" s="302"/>
      <c r="C43" s="118"/>
      <c r="D43" s="119"/>
      <c r="E43" s="119"/>
      <c r="F43" s="119"/>
      <c r="G43" s="119"/>
      <c r="H43" s="119"/>
      <c r="I43" s="119"/>
      <c r="J43" s="119"/>
      <c r="K43" s="119"/>
      <c r="L43" s="120">
        <f t="shared" si="2"/>
        <v>0</v>
      </c>
    </row>
    <row r="44" spans="1:14" s="84" customFormat="1" outlineLevel="1" x14ac:dyDescent="0.25">
      <c r="A44" s="93">
        <f t="shared" si="3"/>
        <v>9</v>
      </c>
      <c r="B44" s="313"/>
      <c r="C44" s="121"/>
      <c r="D44" s="122"/>
      <c r="E44" s="122"/>
      <c r="F44" s="122"/>
      <c r="G44" s="122"/>
      <c r="H44" s="122"/>
      <c r="I44" s="122"/>
      <c r="J44" s="122"/>
      <c r="K44" s="122"/>
      <c r="L44" s="120">
        <f t="shared" si="2"/>
        <v>0</v>
      </c>
    </row>
    <row r="45" spans="1:14" s="84" customFormat="1" outlineLevel="1" x14ac:dyDescent="0.25">
      <c r="A45" s="93">
        <f t="shared" si="3"/>
        <v>10</v>
      </c>
      <c r="B45" s="313" t="s">
        <v>585</v>
      </c>
      <c r="C45" s="121">
        <v>2750</v>
      </c>
      <c r="D45" s="122"/>
      <c r="E45" s="122"/>
      <c r="F45" s="122">
        <v>2000</v>
      </c>
      <c r="G45" s="122">
        <v>200</v>
      </c>
      <c r="H45" s="122">
        <v>200</v>
      </c>
      <c r="I45" s="122">
        <v>50</v>
      </c>
      <c r="J45" s="122">
        <v>100</v>
      </c>
      <c r="K45" s="122">
        <v>200</v>
      </c>
      <c r="L45" s="123">
        <f t="shared" si="2"/>
        <v>0</v>
      </c>
    </row>
    <row r="46" spans="1:14" s="84" customFormat="1" ht="15.75" outlineLevel="1" thickBot="1" x14ac:dyDescent="0.3">
      <c r="A46" s="93"/>
      <c r="C46" s="124"/>
      <c r="D46" s="119"/>
      <c r="E46" s="119"/>
      <c r="F46" s="125"/>
      <c r="G46" s="119"/>
      <c r="H46" s="119"/>
      <c r="I46" s="119"/>
      <c r="J46" s="119"/>
      <c r="K46" s="119"/>
      <c r="L46" s="126"/>
    </row>
    <row r="47" spans="1:14" s="101" customFormat="1" ht="20.25" customHeight="1" thickBot="1" x14ac:dyDescent="0.3">
      <c r="A47" s="99"/>
      <c r="B47" s="100" t="s">
        <v>754</v>
      </c>
      <c r="C47" s="301">
        <f>SUBTOTAL(9,Tabelle410232731[Teilnahmebeiträge Fachseminare])</f>
        <v>19572.5</v>
      </c>
      <c r="D47" s="425">
        <f>SUBTOTAL(9,Tabelle410232731[Teilnahmebeiträge Veranstaltungen])</f>
        <v>0</v>
      </c>
      <c r="E47" s="425">
        <f>SUBTOTAL(9,Tabelle410232731[Sonstige Einnahmen])</f>
        <v>0</v>
      </c>
      <c r="F47" s="426">
        <f>SUBTOTAL(9,Tabelle410232731[Honorare Dozierende Fachseminare])</f>
        <v>17152.5</v>
      </c>
      <c r="G47" s="426">
        <f>SUBTOTAL(9,Tabelle410232731[Aufwandsentschädigungen])</f>
        <v>1110</v>
      </c>
      <c r="H47" s="426">
        <f>SUBTOTAL(9,Tabelle410232731[Externe Reisekosten])</f>
        <v>200</v>
      </c>
      <c r="I47" s="426">
        <f>SUBTOTAL(9,Tabelle410232731[Repräsentation/Bewirtung extern])</f>
        <v>110</v>
      </c>
      <c r="J47" s="426">
        <f>SUBTOTAL(9,Tabelle410232731[Raum + Unterkunft extern])</f>
        <v>100</v>
      </c>
      <c r="K47" s="426">
        <f>SUBTOTAL(9,Tabelle410232731[Verwaltungs- und Druckkosten])</f>
        <v>900</v>
      </c>
      <c r="L47" s="756">
        <f>SUBTOTAL(9,Tabelle410232731[Gesamt])</f>
        <v>0</v>
      </c>
    </row>
    <row r="48" spans="1:14" ht="15" customHeight="1" x14ac:dyDescent="0.3">
      <c r="A48" s="11"/>
    </row>
    <row r="49" spans="1:15" s="78" customFormat="1" ht="15.75" x14ac:dyDescent="0.25">
      <c r="A49" s="7"/>
      <c r="B49" s="7" t="s">
        <v>804</v>
      </c>
      <c r="D49" s="6" t="s">
        <v>797</v>
      </c>
    </row>
    <row r="50" spans="1:15" ht="15.75" customHeight="1" thickBot="1" x14ac:dyDescent="0.35">
      <c r="A50" s="11"/>
    </row>
    <row r="51" spans="1:15" ht="15.75" thickBot="1" x14ac:dyDescent="0.3">
      <c r="A51" s="103"/>
      <c r="B51" s="145" t="s">
        <v>679</v>
      </c>
      <c r="C51" s="94" t="s">
        <v>86</v>
      </c>
      <c r="D51" s="95" t="s">
        <v>93</v>
      </c>
      <c r="E51" s="96" t="s">
        <v>150</v>
      </c>
      <c r="F51" s="96" t="s">
        <v>255</v>
      </c>
      <c r="G51" s="96" t="s">
        <v>286</v>
      </c>
      <c r="H51" s="96" t="s">
        <v>308</v>
      </c>
      <c r="I51" s="96" t="s">
        <v>1266</v>
      </c>
      <c r="J51" s="96" t="s">
        <v>385</v>
      </c>
      <c r="K51" s="96" t="s">
        <v>407</v>
      </c>
      <c r="L51" s="96" t="s">
        <v>420</v>
      </c>
      <c r="M51" s="96" t="s">
        <v>440</v>
      </c>
      <c r="N51" s="743" t="s">
        <v>367</v>
      </c>
      <c r="O51" s="97"/>
    </row>
    <row r="52" spans="1:15" ht="39.75" thickBot="1" x14ac:dyDescent="0.3">
      <c r="A52" s="104" t="s">
        <v>798</v>
      </c>
      <c r="B52" s="102" t="s">
        <v>805</v>
      </c>
      <c r="C52" s="105" t="s">
        <v>674</v>
      </c>
      <c r="D52" s="102" t="s">
        <v>801</v>
      </c>
      <c r="E52" s="102" t="s">
        <v>806</v>
      </c>
      <c r="F52" s="102" t="s">
        <v>667</v>
      </c>
      <c r="G52" s="102" t="s">
        <v>807</v>
      </c>
      <c r="H52" s="102" t="s">
        <v>808</v>
      </c>
      <c r="I52" s="102" t="s">
        <v>802</v>
      </c>
      <c r="J52" s="102" t="s">
        <v>803</v>
      </c>
      <c r="K52" s="102" t="s">
        <v>342</v>
      </c>
      <c r="L52" s="102" t="s">
        <v>321</v>
      </c>
      <c r="M52" s="102" t="s">
        <v>715</v>
      </c>
      <c r="N52" s="102" t="s">
        <v>329</v>
      </c>
      <c r="O52" s="106" t="s">
        <v>630</v>
      </c>
    </row>
    <row r="53" spans="1:15" s="84" customFormat="1" outlineLevel="1" x14ac:dyDescent="0.25">
      <c r="A53" s="284">
        <f t="shared" ref="A53:A64" si="4">ROW(A1)</f>
        <v>1</v>
      </c>
      <c r="B53" s="285" t="s">
        <v>839</v>
      </c>
      <c r="C53" s="420"/>
      <c r="D53" s="421"/>
      <c r="E53" s="421"/>
      <c r="F53" s="421"/>
      <c r="G53" s="421"/>
      <c r="H53" s="421"/>
      <c r="I53" s="421"/>
      <c r="J53" s="421"/>
      <c r="K53" s="421"/>
      <c r="L53" s="421">
        <v>250</v>
      </c>
      <c r="M53" s="421"/>
      <c r="N53" s="421"/>
      <c r="O53" s="292">
        <f t="shared" ref="O53:O64" si="5">SUM(C53+D53)-SUM(F53:N53)</f>
        <v>-250</v>
      </c>
    </row>
    <row r="54" spans="1:15" s="84" customFormat="1" outlineLevel="1" x14ac:dyDescent="0.25">
      <c r="A54" s="284">
        <f t="shared" si="4"/>
        <v>2</v>
      </c>
      <c r="B54" s="285" t="s">
        <v>840</v>
      </c>
      <c r="C54" s="286"/>
      <c r="D54" s="287"/>
      <c r="E54" s="287"/>
      <c r="F54" s="287"/>
      <c r="G54" s="287"/>
      <c r="H54" s="287">
        <v>250</v>
      </c>
      <c r="I54" s="287">
        <v>0</v>
      </c>
      <c r="J54" s="287"/>
      <c r="K54" s="287"/>
      <c r="L54" s="287">
        <v>0</v>
      </c>
      <c r="M54" s="287"/>
      <c r="N54" s="287"/>
      <c r="O54" s="292">
        <f t="shared" si="5"/>
        <v>-250</v>
      </c>
    </row>
    <row r="55" spans="1:15" s="84" customFormat="1" outlineLevel="1" x14ac:dyDescent="0.25">
      <c r="A55" s="284">
        <f t="shared" si="4"/>
        <v>3</v>
      </c>
      <c r="B55" s="285" t="s">
        <v>841</v>
      </c>
      <c r="C55" s="286"/>
      <c r="D55" s="287"/>
      <c r="E55" s="287"/>
      <c r="F55" s="287"/>
      <c r="G55" s="287"/>
      <c r="H55" s="287"/>
      <c r="I55" s="287"/>
      <c r="J55" s="287"/>
      <c r="K55" s="287"/>
      <c r="L55" s="287"/>
      <c r="M55" s="287">
        <v>250</v>
      </c>
      <c r="N55" s="287"/>
      <c r="O55" s="292">
        <f t="shared" si="5"/>
        <v>-250</v>
      </c>
    </row>
    <row r="56" spans="1:15" s="84" customFormat="1" outlineLevel="1" x14ac:dyDescent="0.25">
      <c r="A56" s="284">
        <f t="shared" si="4"/>
        <v>4</v>
      </c>
      <c r="B56" s="285"/>
      <c r="C56" s="286"/>
      <c r="D56" s="287"/>
      <c r="E56" s="287"/>
      <c r="F56" s="287"/>
      <c r="G56" s="287"/>
      <c r="H56" s="287"/>
      <c r="I56" s="287"/>
      <c r="J56" s="287"/>
      <c r="K56" s="287"/>
      <c r="L56" s="287"/>
      <c r="M56" s="287"/>
      <c r="N56" s="287"/>
      <c r="O56" s="292">
        <f t="shared" si="5"/>
        <v>0</v>
      </c>
    </row>
    <row r="57" spans="1:15" s="84" customFormat="1" outlineLevel="1" x14ac:dyDescent="0.25">
      <c r="A57" s="284">
        <f t="shared" si="4"/>
        <v>5</v>
      </c>
      <c r="B57" s="285"/>
      <c r="C57" s="286"/>
      <c r="D57" s="287"/>
      <c r="E57" s="287"/>
      <c r="F57" s="287"/>
      <c r="G57" s="287"/>
      <c r="H57" s="287"/>
      <c r="I57" s="287"/>
      <c r="J57" s="287"/>
      <c r="K57" s="287"/>
      <c r="L57" s="287"/>
      <c r="M57" s="287"/>
      <c r="N57" s="287"/>
      <c r="O57" s="292">
        <f t="shared" si="5"/>
        <v>0</v>
      </c>
    </row>
    <row r="58" spans="1:15" s="84" customFormat="1" outlineLevel="1" x14ac:dyDescent="0.25">
      <c r="A58" s="284">
        <f t="shared" si="4"/>
        <v>6</v>
      </c>
      <c r="B58" s="285"/>
      <c r="C58" s="286"/>
      <c r="D58" s="287"/>
      <c r="E58" s="287"/>
      <c r="F58" s="287"/>
      <c r="G58" s="287"/>
      <c r="H58" s="287"/>
      <c r="I58" s="287"/>
      <c r="J58" s="287"/>
      <c r="K58" s="287"/>
      <c r="L58" s="287"/>
      <c r="M58" s="287"/>
      <c r="N58" s="287"/>
      <c r="O58" s="292">
        <f t="shared" si="5"/>
        <v>0</v>
      </c>
    </row>
    <row r="59" spans="1:15" s="84" customFormat="1" outlineLevel="1" x14ac:dyDescent="0.25">
      <c r="A59" s="284">
        <f t="shared" si="4"/>
        <v>7</v>
      </c>
      <c r="B59" s="285"/>
      <c r="C59" s="286"/>
      <c r="D59" s="287"/>
      <c r="E59" s="287"/>
      <c r="F59" s="287"/>
      <c r="G59" s="287"/>
      <c r="H59" s="287"/>
      <c r="I59" s="287"/>
      <c r="J59" s="287"/>
      <c r="K59" s="287"/>
      <c r="L59" s="287"/>
      <c r="M59" s="287"/>
      <c r="N59" s="287"/>
      <c r="O59" s="292">
        <f t="shared" si="5"/>
        <v>0</v>
      </c>
    </row>
    <row r="60" spans="1:15" s="84" customFormat="1" outlineLevel="1" x14ac:dyDescent="0.25">
      <c r="A60" s="284">
        <f t="shared" si="4"/>
        <v>8</v>
      </c>
      <c r="B60" s="285"/>
      <c r="C60" s="286"/>
      <c r="D60" s="287"/>
      <c r="E60" s="287"/>
      <c r="F60" s="287"/>
      <c r="G60" s="287"/>
      <c r="H60" s="287"/>
      <c r="I60" s="287"/>
      <c r="J60" s="287"/>
      <c r="K60" s="287"/>
      <c r="L60" s="287"/>
      <c r="M60" s="287"/>
      <c r="N60" s="287"/>
      <c r="O60" s="292">
        <f t="shared" si="5"/>
        <v>0</v>
      </c>
    </row>
    <row r="61" spans="1:15" s="84" customFormat="1" outlineLevel="1" x14ac:dyDescent="0.25">
      <c r="A61" s="284">
        <f t="shared" si="4"/>
        <v>9</v>
      </c>
      <c r="B61" s="285"/>
      <c r="C61" s="286"/>
      <c r="D61" s="287"/>
      <c r="E61" s="287"/>
      <c r="F61" s="287"/>
      <c r="G61" s="287"/>
      <c r="H61" s="287"/>
      <c r="I61" s="287"/>
      <c r="J61" s="287"/>
      <c r="K61" s="287"/>
      <c r="L61" s="287"/>
      <c r="M61" s="287"/>
      <c r="N61" s="287"/>
      <c r="O61" s="292">
        <f t="shared" si="5"/>
        <v>0</v>
      </c>
    </row>
    <row r="62" spans="1:15" s="84" customFormat="1" outlineLevel="1" x14ac:dyDescent="0.25">
      <c r="A62" s="284">
        <f t="shared" si="4"/>
        <v>10</v>
      </c>
      <c r="B62" s="285"/>
      <c r="C62" s="286"/>
      <c r="D62" s="287"/>
      <c r="E62" s="287"/>
      <c r="F62" s="287"/>
      <c r="G62" s="287"/>
      <c r="H62" s="287"/>
      <c r="I62" s="287"/>
      <c r="J62" s="287"/>
      <c r="K62" s="287"/>
      <c r="L62" s="287"/>
      <c r="M62" s="287"/>
      <c r="N62" s="287"/>
      <c r="O62" s="292">
        <f t="shared" si="5"/>
        <v>0</v>
      </c>
    </row>
    <row r="63" spans="1:15" s="84" customFormat="1" outlineLevel="1" x14ac:dyDescent="0.25">
      <c r="A63" s="284">
        <f t="shared" si="4"/>
        <v>11</v>
      </c>
      <c r="B63" s="285"/>
      <c r="C63" s="286"/>
      <c r="D63" s="287"/>
      <c r="E63" s="287"/>
      <c r="F63" s="287"/>
      <c r="G63" s="287"/>
      <c r="H63" s="287"/>
      <c r="I63" s="287"/>
      <c r="J63" s="287"/>
      <c r="K63" s="287"/>
      <c r="L63" s="287"/>
      <c r="M63" s="287"/>
      <c r="N63" s="287"/>
      <c r="O63" s="292">
        <f t="shared" si="5"/>
        <v>0</v>
      </c>
    </row>
    <row r="64" spans="1:15" s="84" customFormat="1" ht="15.75" outlineLevel="1" thickBot="1" x14ac:dyDescent="0.3">
      <c r="A64" s="284">
        <f t="shared" si="4"/>
        <v>12</v>
      </c>
      <c r="B64" s="289" t="s">
        <v>629</v>
      </c>
      <c r="C64" s="295">
        <v>0</v>
      </c>
      <c r="D64" s="296">
        <v>0</v>
      </c>
      <c r="E64" s="296">
        <v>200</v>
      </c>
      <c r="F64" s="296">
        <v>300</v>
      </c>
      <c r="G64" s="296">
        <v>100</v>
      </c>
      <c r="H64" s="296">
        <v>250</v>
      </c>
      <c r="I64" s="296">
        <v>200</v>
      </c>
      <c r="J64" s="296">
        <v>0</v>
      </c>
      <c r="K64" s="296">
        <v>0</v>
      </c>
      <c r="L64" s="296">
        <v>1000</v>
      </c>
      <c r="M64" s="296">
        <v>500</v>
      </c>
      <c r="N64" s="766">
        <v>1000</v>
      </c>
      <c r="O64" s="292">
        <f t="shared" si="5"/>
        <v>-3350</v>
      </c>
    </row>
    <row r="65" spans="1:15" ht="23.25" customHeight="1" thickBot="1" x14ac:dyDescent="0.3">
      <c r="A65" s="109"/>
      <c r="B65" s="110" t="s">
        <v>754</v>
      </c>
      <c r="C65" s="301">
        <f>SUBTOTAL(9,Tabelle513242832[Teilnahmebeiträge Veranstaltungen])</f>
        <v>0</v>
      </c>
      <c r="D65" s="425">
        <f>SUBTOTAL(9,Tabelle513242832[Sonstige Einnahmen])</f>
        <v>0</v>
      </c>
      <c r="E65" s="426">
        <f>SUBTOTAL(9,Tabelle513242832[Aufwandsentschädigungen])</f>
        <v>200</v>
      </c>
      <c r="F65" s="426">
        <f>SUBTOTAL(9,Tabelle513242832[Interne Reisekosten])</f>
        <v>300</v>
      </c>
      <c r="G65" s="426">
        <f>SUBTOTAL(9,Tabelle513242832[Raum + Unterkunft intern])</f>
        <v>100</v>
      </c>
      <c r="H65" s="426">
        <f>SUBTOTAL(9,Tabelle513242832[Repräsentation/Bewirtung intern])</f>
        <v>500</v>
      </c>
      <c r="I65" s="426">
        <f>SUBTOTAL(9,Tabelle513242832[Repräsentation/Bewirtung extern])</f>
        <v>200</v>
      </c>
      <c r="J65" s="426">
        <f>SUBTOTAL(9,Tabelle513242832[Raum + Unterkunft extern])</f>
        <v>0</v>
      </c>
      <c r="K65" s="426">
        <f>SUBTOTAL(9,Tabelle513242832[Druckkosten])</f>
        <v>0</v>
      </c>
      <c r="L65" s="426">
        <f>SUBTOTAL(9,Tabelle513242832[Sonstige Kosten])</f>
        <v>1250</v>
      </c>
      <c r="M65" s="426">
        <f>SUBTOTAL(9,Tabelle513242832[Rechtsangelegenheiten])</f>
        <v>750</v>
      </c>
      <c r="N65" s="426">
        <f>SUBTOTAL(109,Tabelle513242832[Andere Honorare])</f>
        <v>1000</v>
      </c>
      <c r="O65" s="763">
        <f>SUBTOTAL(9,Tabelle513242832[Gesamt])</f>
        <v>-4100</v>
      </c>
    </row>
    <row r="66" spans="1:15" ht="18.75" x14ac:dyDescent="0.3">
      <c r="A66" s="11"/>
    </row>
    <row r="67" spans="1:15" ht="15.75" x14ac:dyDescent="0.25">
      <c r="A67" s="7"/>
      <c r="B67" s="7" t="s">
        <v>813</v>
      </c>
      <c r="D67" s="6" t="s">
        <v>797</v>
      </c>
    </row>
    <row r="68" spans="1:15" ht="19.5" thickBot="1" x14ac:dyDescent="0.35">
      <c r="A68" s="11"/>
    </row>
    <row r="69" spans="1:15" ht="16.5" thickTop="1" thickBot="1" x14ac:dyDescent="0.3">
      <c r="A69" s="111"/>
      <c r="B69" s="143"/>
      <c r="C69" s="144"/>
      <c r="D69" s="147" t="s">
        <v>679</v>
      </c>
      <c r="E69" s="112" t="s">
        <v>139</v>
      </c>
      <c r="F69" s="113" t="s">
        <v>247</v>
      </c>
      <c r="G69" s="113" t="s">
        <v>273</v>
      </c>
      <c r="H69" s="113" t="s">
        <v>300</v>
      </c>
      <c r="I69" s="114"/>
    </row>
    <row r="70" spans="1:15" ht="39.75" thickBot="1" x14ac:dyDescent="0.3">
      <c r="A70" s="115" t="s">
        <v>814</v>
      </c>
      <c r="B70" s="115" t="s">
        <v>815</v>
      </c>
      <c r="C70" s="146" t="s">
        <v>816</v>
      </c>
      <c r="D70" s="115" t="s">
        <v>556</v>
      </c>
      <c r="E70" s="414" t="s">
        <v>806</v>
      </c>
      <c r="F70" s="415" t="s">
        <v>667</v>
      </c>
      <c r="G70" s="415" t="s">
        <v>807</v>
      </c>
      <c r="H70" s="415" t="s">
        <v>808</v>
      </c>
      <c r="I70" s="416" t="s">
        <v>630</v>
      </c>
    </row>
    <row r="71" spans="1:15" s="84" customFormat="1" ht="115.5" outlineLevel="1" x14ac:dyDescent="0.25">
      <c r="A71" s="288">
        <f t="shared" ref="A71:A79" si="6">ROW(A1)</f>
        <v>1</v>
      </c>
      <c r="B71" s="326" t="s">
        <v>1359</v>
      </c>
      <c r="C71" s="288"/>
      <c r="D71" s="288"/>
      <c r="E71" s="420"/>
      <c r="F71" s="421"/>
      <c r="G71" s="421"/>
      <c r="H71" s="421"/>
      <c r="I71" s="312">
        <f>SUM(E71:H71)</f>
        <v>0</v>
      </c>
    </row>
    <row r="72" spans="1:15" s="84" customFormat="1" outlineLevel="1" x14ac:dyDescent="0.25">
      <c r="A72" s="288">
        <f t="shared" si="6"/>
        <v>2</v>
      </c>
      <c r="B72" s="288" t="s">
        <v>1360</v>
      </c>
      <c r="C72" s="288"/>
      <c r="D72" s="288" t="s">
        <v>828</v>
      </c>
      <c r="E72" s="286">
        <v>800</v>
      </c>
      <c r="F72" s="287">
        <v>0</v>
      </c>
      <c r="G72" s="287">
        <v>0</v>
      </c>
      <c r="H72" s="287">
        <v>0</v>
      </c>
      <c r="I72" s="292">
        <f>SUM(E72:H72)</f>
        <v>800</v>
      </c>
    </row>
    <row r="73" spans="1:15" s="84" customFormat="1" outlineLevel="1" x14ac:dyDescent="0.25">
      <c r="A73" s="288">
        <f t="shared" si="6"/>
        <v>3</v>
      </c>
      <c r="B73" s="288" t="s">
        <v>1361</v>
      </c>
      <c r="C73" s="288"/>
      <c r="D73" s="288" t="s">
        <v>822</v>
      </c>
      <c r="E73" s="286">
        <v>720</v>
      </c>
      <c r="F73" s="287">
        <v>600</v>
      </c>
      <c r="G73" s="287">
        <v>350</v>
      </c>
      <c r="H73" s="287">
        <v>50</v>
      </c>
      <c r="I73" s="292">
        <f>SUM(E73:H73)</f>
        <v>1720</v>
      </c>
    </row>
    <row r="74" spans="1:15" s="84" customFormat="1" outlineLevel="1" x14ac:dyDescent="0.25">
      <c r="A74" s="288">
        <f t="shared" si="6"/>
        <v>4</v>
      </c>
      <c r="B74" s="288"/>
      <c r="C74" s="288"/>
      <c r="D74" s="288"/>
      <c r="E74" s="286"/>
      <c r="F74" s="287"/>
      <c r="G74" s="287"/>
      <c r="H74" s="287"/>
      <c r="I74" s="292"/>
    </row>
    <row r="75" spans="1:15" s="84" customFormat="1" outlineLevel="1" x14ac:dyDescent="0.25">
      <c r="A75" s="288">
        <f t="shared" si="6"/>
        <v>5</v>
      </c>
      <c r="B75" s="288"/>
      <c r="C75" s="288"/>
      <c r="D75" s="288"/>
      <c r="E75" s="286"/>
      <c r="F75" s="287"/>
      <c r="G75" s="287"/>
      <c r="H75" s="287"/>
      <c r="I75" s="292"/>
    </row>
    <row r="76" spans="1:15" s="84" customFormat="1" outlineLevel="1" x14ac:dyDescent="0.25">
      <c r="A76" s="288">
        <f t="shared" si="6"/>
        <v>6</v>
      </c>
      <c r="B76" s="288" t="s">
        <v>842</v>
      </c>
      <c r="C76" s="288"/>
      <c r="D76" s="288" t="s">
        <v>822</v>
      </c>
      <c r="E76" s="286">
        <v>300</v>
      </c>
      <c r="F76" s="287">
        <v>500</v>
      </c>
      <c r="G76" s="287">
        <v>200</v>
      </c>
      <c r="H76" s="287">
        <v>50</v>
      </c>
      <c r="I76" s="292">
        <f>SUM(E76:H76)</f>
        <v>1050</v>
      </c>
    </row>
    <row r="77" spans="1:15" s="84" customFormat="1" outlineLevel="1" x14ac:dyDescent="0.25">
      <c r="A77" s="288">
        <f t="shared" si="6"/>
        <v>7</v>
      </c>
      <c r="B77" s="288"/>
      <c r="C77" s="288"/>
      <c r="D77" s="288"/>
      <c r="E77" s="286"/>
      <c r="F77" s="287"/>
      <c r="G77" s="287"/>
      <c r="H77" s="287"/>
      <c r="I77" s="292">
        <f t="shared" ref="I77:I78" si="7">SUM(E77:H77)</f>
        <v>0</v>
      </c>
    </row>
    <row r="78" spans="1:15" outlineLevel="1" x14ac:dyDescent="0.25">
      <c r="A78" s="101">
        <f t="shared" si="6"/>
        <v>8</v>
      </c>
      <c r="B78" s="116" t="s">
        <v>823</v>
      </c>
      <c r="C78" s="116"/>
      <c r="D78" s="116"/>
      <c r="E78" s="131">
        <f>Tabelle513242832[[#Totals],[Aufwandsentschädigungen]]</f>
        <v>200</v>
      </c>
      <c r="F78" s="132">
        <f>Tabelle513242832[[#Totals],[Interne Reisekosten]]</f>
        <v>300</v>
      </c>
      <c r="G78" s="132">
        <f>Tabelle513242832[[#Totals],[Raum + Unterkunft intern]]</f>
        <v>100</v>
      </c>
      <c r="H78" s="132">
        <f>Tabelle513242832[[#Totals],[Repräsentation/Bewirtung intern]]</f>
        <v>500</v>
      </c>
      <c r="I78" s="293">
        <f t="shared" si="7"/>
        <v>1100</v>
      </c>
    </row>
    <row r="79" spans="1:15" s="84" customFormat="1" ht="15.75" customHeight="1" outlineLevel="1" thickBot="1" x14ac:dyDescent="0.3">
      <c r="A79" s="288">
        <f t="shared" si="6"/>
        <v>9</v>
      </c>
      <c r="B79" s="289" t="s">
        <v>629</v>
      </c>
      <c r="C79" s="289"/>
      <c r="D79" s="289" t="s">
        <v>824</v>
      </c>
      <c r="E79" s="290">
        <v>200</v>
      </c>
      <c r="F79" s="291">
        <v>500</v>
      </c>
      <c r="G79" s="291">
        <v>500</v>
      </c>
      <c r="H79" s="291">
        <v>50</v>
      </c>
      <c r="I79" s="294">
        <f>SUM(E79:H79)</f>
        <v>1250</v>
      </c>
    </row>
    <row r="80" spans="1:15" ht="23.25" customHeight="1" thickBot="1" x14ac:dyDescent="0.3">
      <c r="A80" s="101"/>
      <c r="B80" s="101"/>
      <c r="C80" s="101"/>
      <c r="D80" s="110" t="s">
        <v>754</v>
      </c>
      <c r="E80" s="303">
        <f>SUBTOTAL(9,Tabelle615252933[Aufwandsentschädigungen])</f>
        <v>2220</v>
      </c>
      <c r="F80" s="426">
        <f>SUBTOTAL(9,Tabelle615252933[Interne Reisekosten])</f>
        <v>1900</v>
      </c>
      <c r="G80" s="426">
        <f>SUBTOTAL(9,Tabelle615252933[Raum + Unterkunft intern])</f>
        <v>1150</v>
      </c>
      <c r="H80" s="426">
        <f>SUBTOTAL(9,Tabelle615252933[Repräsentation/Bewirtung intern])</f>
        <v>650</v>
      </c>
      <c r="I80" s="764">
        <f>SUBTOTAL(9,Tabelle615252933[Gesamt])</f>
        <v>5920</v>
      </c>
    </row>
  </sheetData>
  <sheetProtection insertRows="0" insertHyperlinks="0" selectLockedCells="1" sort="0" autoFilter="0" pivotTables="0"/>
  <hyperlinks>
    <hyperlink ref="C47" location="M_I!F5" display="M_I!F5"/>
    <hyperlink ref="D47" location="M_I!F6" display="M_I!F6"/>
    <hyperlink ref="E47" location="M_I!F7" display="M_I!F7"/>
    <hyperlink ref="C65" location="M_I!F6" display="M_I!F6"/>
    <hyperlink ref="D65" location="M_I!F7" display="M_I!F7"/>
    <hyperlink ref="E65" location="M_I!F11" display="M_I!F11"/>
    <hyperlink ref="E80" location="M_I!F11" display="M_I!F11"/>
    <hyperlink ref="F65" location="M_I!F12" display="M_I!F12"/>
    <hyperlink ref="F80" location="M_I!F12" display="M_I!F12"/>
    <hyperlink ref="G65" location="M_I!F13" display="M_I!F13"/>
    <hyperlink ref="G80" location="M_I!F13" display="M_I!F13"/>
    <hyperlink ref="H65" location="M_I!F14" display="M_I!F14"/>
    <hyperlink ref="H80" location="M_I!F14" display="M_I!F14"/>
    <hyperlink ref="F47" location="M_I!F15" display="M_I!F15"/>
    <hyperlink ref="G47" location="M_I!F16" display="M_I!F16"/>
    <hyperlink ref="I65" location="M_I!F18" display="M_I!F18"/>
    <hyperlink ref="J65" location="M_I!F19" display="M_I!F19"/>
    <hyperlink ref="K65" location="M_I!F20" display="M_I!F20"/>
    <hyperlink ref="H47" location="M_I!F17" display="M_I!F17"/>
    <hyperlink ref="I47" location="M_I!F18" display="M_I!F18"/>
    <hyperlink ref="J47" location="M_I!F19" display="M_I!F19"/>
    <hyperlink ref="K47" location="M_I!F20" display="M_I!F20"/>
    <hyperlink ref="L65" location="M_I!F21" display="M_I!F21"/>
    <hyperlink ref="M65" location="M_I!F22" display="M_I!F22"/>
    <hyperlink ref="B11" location="M_I_AE_var" display="AE variabel"/>
    <hyperlink ref="B12" location="M_I_RK_Int." display="Fahrtkosten und Verpflegungspauschalen"/>
    <hyperlink ref="B13" location="M_I_R_U_Int." display="Raum- und Unterkunftskosten"/>
    <hyperlink ref="B14" location="M_I_Bew.Int." display="Bewirtung und Repräsentation intern"/>
    <hyperlink ref="B15" location="M_I_Hon_I" display="Honorare Fachseminare"/>
    <hyperlink ref="B16" location="M_I_Hon_II" display="Andere Honorare"/>
    <hyperlink ref="B17" location="M_I_Ext.RK" display="Ext. Reisekosten"/>
    <hyperlink ref="B18" location="M_I_Bew.Ext." display="Bewirtung und Repräsentation extern"/>
    <hyperlink ref="B19" location="M_I_R_U_Ext." display="Raum- und Unterkunftskosten Seminare und Veranst."/>
    <hyperlink ref="B20" location="M_I_Druck" display="Druckkosten"/>
    <hyperlink ref="B21" location="M_I_Sonst." display="Sonstige Kosten (Lizenzen, Allg. Geschäftsbetrieb)"/>
    <hyperlink ref="B22" location="Rechtsk.FSen" display="Rechtsangelegenheiten"/>
    <hyperlink ref="B7" location="M_I_Sonst_Einnahmen" display="Sonstige Einnahmen (Vorauszahlungen Bewirtung, Werbung, …)"/>
    <hyperlink ref="B6" location="M_I_TN_Beiträge_II" display="Teilnahmebeiträge Veranstaltungen"/>
    <hyperlink ref="B5" location="M_I_TN_Beiträge_I" display="Teilnahmebeiträge Seminare"/>
    <hyperlink ref="F11" location="AEFKM_I_413.21" display="AEFKM_I_413.21"/>
    <hyperlink ref="F12" location="AEFKM_I_527.40" display="AEFKM_I_527.40"/>
    <hyperlink ref="F13" location="AEFKM_I_529.40" display="AEFKM_I_529.40"/>
    <hyperlink ref="F14" location="AEFKM_I_531.40" display="AEFKM_I_531.40"/>
    <hyperlink ref="F15" location="SemM_I_551.10" display="SemM_I_551.10"/>
    <hyperlink ref="F17" location="SemM_I_551.30" display="SemM_I_551.30"/>
    <hyperlink ref="F18" location="SemM_I_551.40" display="SemM_I_551.40"/>
    <hyperlink ref="F19" location="SemM_I_551.50" display="SemM_I_551.50"/>
    <hyperlink ref="F20" location="MaßnM_I_551.60" display="MaßnM_I_551.60"/>
    <hyperlink ref="F21" location="MaßnM_I_551.70" display="MaßnM_I_551.70"/>
    <hyperlink ref="F22" location="MaßnM_I_560.70" display="MaßnM_I_560.70"/>
    <hyperlink ref="F5" location="SemM_I_210.10" display="SemM_I_210.10"/>
    <hyperlink ref="F6" location="MaßnM_I_220.10" display="MaßnM_I_220.10"/>
    <hyperlink ref="F7" location="MaßnM_I_230.10" display="MaßnM_I_230.10"/>
  </hyperlinks>
  <pageMargins left="0.7" right="0.7" top="0.78740157499999996" bottom="0.78740157499999996" header="0.3" footer="0.3"/>
  <pageSetup paperSize="9" orientation="landscape" verticalDpi="0" r:id="rId1"/>
  <legacy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3"/>
  <sheetViews>
    <sheetView zoomScale="90" zoomScaleNormal="90" workbookViewId="0">
      <pane ySplit="4" topLeftCell="A17" activePane="bottomLeft" state="frozen"/>
      <selection pane="bottomLeft" activeCell="B34" sqref="B34"/>
    </sheetView>
  </sheetViews>
  <sheetFormatPr baseColWidth="10" defaultColWidth="11.5703125" defaultRowHeight="15" x14ac:dyDescent="0.25"/>
  <cols>
    <col min="1" max="1" width="10.140625" style="41" customWidth="1"/>
    <col min="2" max="2" width="38.5703125" style="41" customWidth="1"/>
    <col min="3" max="3" width="17.28515625" style="679" hidden="1" customWidth="1"/>
    <col min="4" max="4" width="17.28515625" style="680" hidden="1" customWidth="1"/>
    <col min="5" max="5" width="19.42578125" style="676" hidden="1" customWidth="1"/>
    <col min="6" max="7" width="17.28515625" style="681" hidden="1" customWidth="1"/>
    <col min="8" max="10" width="13.85546875" style="41" hidden="1" customWidth="1"/>
    <col min="11" max="12" width="13.7109375" style="41" hidden="1" customWidth="1"/>
    <col min="13" max="15" width="13.85546875" style="41" hidden="1" customWidth="1"/>
    <col min="16" max="18" width="15.5703125" style="41" hidden="1" customWidth="1"/>
    <col min="19" max="19" width="15.85546875" style="41" hidden="1" customWidth="1"/>
    <col min="20" max="20" width="16.7109375" style="41" customWidth="1"/>
    <col min="21" max="21" width="14.28515625" style="435" customWidth="1"/>
    <col min="22" max="22" width="18.28515625" style="460" customWidth="1"/>
    <col min="23" max="23" width="15.85546875" style="41" customWidth="1"/>
    <col min="24" max="24" width="13.5703125" style="41" customWidth="1"/>
    <col min="25" max="25" width="14.5703125" style="41" customWidth="1"/>
    <col min="26" max="16384" width="11.5703125" style="41"/>
  </cols>
  <sheetData>
    <row r="1" spans="1:22" x14ac:dyDescent="0.25">
      <c r="A1" s="428"/>
      <c r="B1" s="429"/>
      <c r="C1" s="430" t="s">
        <v>844</v>
      </c>
      <c r="D1" s="431" t="s">
        <v>845</v>
      </c>
      <c r="E1" s="432" t="s">
        <v>844</v>
      </c>
      <c r="F1" s="433" t="s">
        <v>844</v>
      </c>
      <c r="G1" s="433" t="s">
        <v>845</v>
      </c>
      <c r="H1" s="434" t="s">
        <v>844</v>
      </c>
      <c r="I1" s="434" t="s">
        <v>844</v>
      </c>
      <c r="J1" s="434" t="s">
        <v>844</v>
      </c>
      <c r="K1" s="434" t="s">
        <v>844</v>
      </c>
      <c r="L1" s="434" t="s">
        <v>844</v>
      </c>
      <c r="M1" s="434" t="s">
        <v>844</v>
      </c>
      <c r="N1" s="434" t="s">
        <v>844</v>
      </c>
      <c r="O1" s="434" t="s">
        <v>844</v>
      </c>
      <c r="P1" s="434" t="s">
        <v>844</v>
      </c>
      <c r="Q1" s="434" t="s">
        <v>844</v>
      </c>
      <c r="R1" s="434" t="s">
        <v>844</v>
      </c>
      <c r="S1" s="434" t="s">
        <v>844</v>
      </c>
      <c r="T1" s="434" t="s">
        <v>844</v>
      </c>
      <c r="V1" s="436"/>
    </row>
    <row r="2" spans="1:22" x14ac:dyDescent="0.25">
      <c r="A2" s="437"/>
      <c r="B2" s="438"/>
      <c r="C2" s="439" t="s">
        <v>846</v>
      </c>
      <c r="D2" s="440" t="s">
        <v>847</v>
      </c>
      <c r="E2" s="441" t="s">
        <v>846</v>
      </c>
      <c r="F2" s="440" t="s">
        <v>848</v>
      </c>
      <c r="G2" s="440" t="s">
        <v>848</v>
      </c>
      <c r="H2" s="442" t="s">
        <v>848</v>
      </c>
      <c r="I2" s="442" t="s">
        <v>848</v>
      </c>
      <c r="J2" s="442" t="s">
        <v>848</v>
      </c>
      <c r="K2" s="442" t="s">
        <v>848</v>
      </c>
      <c r="L2" s="442" t="s">
        <v>848</v>
      </c>
      <c r="M2" s="442" t="s">
        <v>848</v>
      </c>
      <c r="N2" s="442" t="s">
        <v>848</v>
      </c>
      <c r="O2" s="442" t="s">
        <v>848</v>
      </c>
      <c r="P2" s="442" t="s">
        <v>848</v>
      </c>
      <c r="Q2" s="442" t="s">
        <v>848</v>
      </c>
      <c r="R2" s="442" t="s">
        <v>848</v>
      </c>
      <c r="S2" s="442" t="s">
        <v>848</v>
      </c>
      <c r="T2" s="442" t="s">
        <v>848</v>
      </c>
      <c r="V2" s="436"/>
    </row>
    <row r="3" spans="1:22" x14ac:dyDescent="0.25">
      <c r="A3" s="437" t="s">
        <v>849</v>
      </c>
      <c r="B3" s="438"/>
      <c r="C3" s="439" t="s">
        <v>850</v>
      </c>
      <c r="D3" s="440" t="s">
        <v>850</v>
      </c>
      <c r="E3" s="443" t="s">
        <v>9</v>
      </c>
      <c r="F3" s="440" t="s">
        <v>850</v>
      </c>
      <c r="G3" s="440" t="s">
        <v>850</v>
      </c>
      <c r="H3" s="444" t="s">
        <v>9</v>
      </c>
      <c r="I3" s="444" t="s">
        <v>9</v>
      </c>
      <c r="J3" s="444" t="s">
        <v>9</v>
      </c>
      <c r="K3" s="444" t="s">
        <v>9</v>
      </c>
      <c r="L3" s="444" t="s">
        <v>9</v>
      </c>
      <c r="M3" s="444" t="s">
        <v>9</v>
      </c>
      <c r="N3" s="444" t="s">
        <v>9</v>
      </c>
      <c r="O3" s="444" t="s">
        <v>9</v>
      </c>
      <c r="P3" s="444" t="s">
        <v>9</v>
      </c>
      <c r="Q3" s="444" t="s">
        <v>9</v>
      </c>
      <c r="R3" s="444" t="s">
        <v>9</v>
      </c>
      <c r="S3" s="444" t="s">
        <v>9</v>
      </c>
      <c r="T3" s="444" t="s">
        <v>9</v>
      </c>
      <c r="V3" s="436"/>
    </row>
    <row r="4" spans="1:22" ht="25.15" customHeight="1" thickBot="1" x14ac:dyDescent="0.3">
      <c r="A4" s="445" t="s">
        <v>851</v>
      </c>
      <c r="B4" s="446" t="s">
        <v>852</v>
      </c>
      <c r="C4" s="447" t="s">
        <v>853</v>
      </c>
      <c r="D4" s="448" t="s">
        <v>854</v>
      </c>
      <c r="E4" s="449">
        <v>44469</v>
      </c>
      <c r="F4" s="450" t="s">
        <v>855</v>
      </c>
      <c r="G4" s="450"/>
      <c r="H4" s="451">
        <v>44500</v>
      </c>
      <c r="I4" s="451">
        <v>44530</v>
      </c>
      <c r="J4" s="451">
        <v>44561</v>
      </c>
      <c r="K4" s="451">
        <v>44592</v>
      </c>
      <c r="L4" s="451">
        <v>44620</v>
      </c>
      <c r="M4" s="451">
        <v>44643</v>
      </c>
      <c r="N4" s="451">
        <v>44651</v>
      </c>
      <c r="O4" s="451">
        <v>44681</v>
      </c>
      <c r="P4" s="451">
        <v>44712</v>
      </c>
      <c r="Q4" s="451">
        <v>44742</v>
      </c>
      <c r="R4" s="451">
        <v>44773</v>
      </c>
      <c r="S4" s="451">
        <v>44804</v>
      </c>
      <c r="T4" s="451" t="s">
        <v>856</v>
      </c>
      <c r="V4" s="436"/>
    </row>
    <row r="5" spans="1:22" s="461" customFormat="1" x14ac:dyDescent="0.25">
      <c r="A5" s="452" t="s">
        <v>782</v>
      </c>
      <c r="B5" s="453"/>
      <c r="C5" s="454"/>
      <c r="D5" s="455"/>
      <c r="E5" s="456"/>
      <c r="F5" s="457"/>
      <c r="G5" s="457"/>
      <c r="H5" s="458"/>
      <c r="I5" s="458"/>
      <c r="J5" s="458"/>
      <c r="K5" s="458"/>
      <c r="L5" s="458"/>
      <c r="M5" s="458"/>
      <c r="N5" s="458"/>
      <c r="O5" s="458"/>
      <c r="P5" s="458"/>
      <c r="Q5" s="458"/>
      <c r="R5" s="458"/>
      <c r="S5" s="458"/>
      <c r="T5" s="458"/>
      <c r="U5" s="459"/>
      <c r="V5" s="460"/>
    </row>
    <row r="6" spans="1:22" s="467" customFormat="1" x14ac:dyDescent="0.25">
      <c r="A6" s="462" t="s">
        <v>857</v>
      </c>
      <c r="B6" s="453" t="s">
        <v>22</v>
      </c>
      <c r="C6" s="463"/>
      <c r="D6" s="457"/>
      <c r="E6" s="464"/>
      <c r="F6" s="457"/>
      <c r="G6" s="457"/>
      <c r="H6" s="458"/>
      <c r="I6" s="458"/>
      <c r="J6" s="458"/>
      <c r="K6" s="458"/>
      <c r="L6" s="458"/>
      <c r="M6" s="458"/>
      <c r="N6" s="458"/>
      <c r="O6" s="458"/>
      <c r="P6" s="458"/>
      <c r="Q6" s="458"/>
      <c r="R6" s="458"/>
      <c r="S6" s="458"/>
      <c r="T6" s="465"/>
      <c r="U6" s="466"/>
      <c r="V6" s="460"/>
    </row>
    <row r="7" spans="1:22" s="467" customFormat="1" x14ac:dyDescent="0.25">
      <c r="A7" s="468" t="s">
        <v>858</v>
      </c>
      <c r="B7" s="469" t="s">
        <v>859</v>
      </c>
      <c r="C7" s="470">
        <v>0</v>
      </c>
      <c r="D7" s="471">
        <v>0</v>
      </c>
      <c r="E7" s="472">
        <v>5</v>
      </c>
      <c r="F7" s="471">
        <v>0</v>
      </c>
      <c r="G7" s="471"/>
      <c r="H7" s="473">
        <v>0</v>
      </c>
      <c r="I7" s="473">
        <v>0</v>
      </c>
      <c r="J7" s="473">
        <v>0</v>
      </c>
      <c r="K7" s="473">
        <v>0</v>
      </c>
      <c r="L7" s="473">
        <v>0</v>
      </c>
      <c r="M7" s="473">
        <v>0</v>
      </c>
      <c r="N7" s="473">
        <v>0</v>
      </c>
      <c r="O7" s="473">
        <v>0</v>
      </c>
      <c r="P7" s="473">
        <v>0</v>
      </c>
      <c r="Q7" s="473">
        <v>0</v>
      </c>
      <c r="R7" s="473">
        <v>0</v>
      </c>
      <c r="S7" s="473"/>
      <c r="T7" s="815">
        <v>0</v>
      </c>
      <c r="U7" s="466"/>
      <c r="V7" s="460"/>
    </row>
    <row r="8" spans="1:22" s="467" customFormat="1" x14ac:dyDescent="0.25">
      <c r="A8" s="468" t="s">
        <v>33</v>
      </c>
      <c r="B8" s="469" t="s">
        <v>860</v>
      </c>
      <c r="C8" s="470">
        <v>0</v>
      </c>
      <c r="D8" s="471">
        <v>0</v>
      </c>
      <c r="E8" s="472">
        <v>0</v>
      </c>
      <c r="F8" s="471">
        <v>0</v>
      </c>
      <c r="G8" s="471"/>
      <c r="H8" s="473">
        <v>0</v>
      </c>
      <c r="I8" s="473">
        <v>0</v>
      </c>
      <c r="J8" s="473">
        <v>0</v>
      </c>
      <c r="K8" s="473">
        <v>0</v>
      </c>
      <c r="L8" s="473">
        <v>0</v>
      </c>
      <c r="M8" s="473">
        <v>0</v>
      </c>
      <c r="N8" s="473">
        <v>0</v>
      </c>
      <c r="O8" s="473">
        <v>0</v>
      </c>
      <c r="P8" s="473">
        <v>0</v>
      </c>
      <c r="Q8" s="473">
        <v>0</v>
      </c>
      <c r="R8" s="473">
        <v>0</v>
      </c>
      <c r="S8" s="473"/>
      <c r="T8" s="815">
        <v>0</v>
      </c>
      <c r="U8" s="466"/>
      <c r="V8" s="460"/>
    </row>
    <row r="9" spans="1:22" x14ac:dyDescent="0.25">
      <c r="A9" s="474" t="s">
        <v>861</v>
      </c>
      <c r="B9" s="475" t="s">
        <v>862</v>
      </c>
      <c r="C9" s="476">
        <v>5000</v>
      </c>
      <c r="D9" s="477">
        <v>2000</v>
      </c>
      <c r="E9" s="478">
        <v>2630</v>
      </c>
      <c r="F9" s="477">
        <v>5000</v>
      </c>
      <c r="G9" s="477"/>
      <c r="H9" s="479">
        <v>0</v>
      </c>
      <c r="I9" s="479">
        <v>0</v>
      </c>
      <c r="J9" s="479">
        <v>0</v>
      </c>
      <c r="K9" s="479">
        <v>0</v>
      </c>
      <c r="L9" s="479">
        <v>0</v>
      </c>
      <c r="M9" s="479">
        <v>0</v>
      </c>
      <c r="N9" s="479">
        <v>0</v>
      </c>
      <c r="O9" s="479">
        <v>0</v>
      </c>
      <c r="P9" s="479">
        <v>1080</v>
      </c>
      <c r="Q9" s="479">
        <v>1955</v>
      </c>
      <c r="R9" s="479">
        <v>4640</v>
      </c>
      <c r="S9" s="480"/>
      <c r="T9" s="816">
        <v>6205</v>
      </c>
    </row>
    <row r="10" spans="1:22" x14ac:dyDescent="0.25">
      <c r="A10" s="474" t="s">
        <v>863</v>
      </c>
      <c r="B10" s="475" t="s">
        <v>864</v>
      </c>
      <c r="C10" s="476">
        <v>0</v>
      </c>
      <c r="D10" s="477">
        <v>0</v>
      </c>
      <c r="E10" s="482">
        <v>0</v>
      </c>
      <c r="F10" s="477">
        <v>1000</v>
      </c>
      <c r="G10" s="477"/>
      <c r="H10" s="479">
        <v>0</v>
      </c>
      <c r="I10" s="479">
        <v>0</v>
      </c>
      <c r="J10" s="479">
        <v>0</v>
      </c>
      <c r="K10" s="479">
        <v>0</v>
      </c>
      <c r="L10" s="479">
        <v>0</v>
      </c>
      <c r="M10" s="479">
        <v>0</v>
      </c>
      <c r="N10" s="479">
        <v>0</v>
      </c>
      <c r="O10" s="479">
        <v>0</v>
      </c>
      <c r="P10" s="479">
        <v>0</v>
      </c>
      <c r="Q10" s="479">
        <v>0</v>
      </c>
      <c r="R10" s="479">
        <v>0</v>
      </c>
      <c r="S10" s="481"/>
      <c r="T10" s="817">
        <v>0</v>
      </c>
    </row>
    <row r="11" spans="1:22" s="491" customFormat="1" x14ac:dyDescent="0.25">
      <c r="A11" s="483" t="s">
        <v>865</v>
      </c>
      <c r="B11" s="484" t="s">
        <v>866</v>
      </c>
      <c r="C11" s="485"/>
      <c r="D11" s="486"/>
      <c r="E11" s="487"/>
      <c r="F11" s="486"/>
      <c r="G11" s="486"/>
      <c r="H11" s="488"/>
      <c r="I11" s="488"/>
      <c r="J11" s="488"/>
      <c r="K11" s="488"/>
      <c r="L11" s="488"/>
      <c r="M11" s="488"/>
      <c r="N11" s="488"/>
      <c r="O11" s="488"/>
      <c r="P11" s="488"/>
      <c r="Q11" s="488"/>
      <c r="R11" s="488"/>
      <c r="S11" s="489"/>
      <c r="T11" s="818"/>
      <c r="U11" s="490"/>
      <c r="V11" s="460"/>
    </row>
    <row r="12" spans="1:22" x14ac:dyDescent="0.25">
      <c r="A12" s="474" t="s">
        <v>37</v>
      </c>
      <c r="B12" s="475" t="s">
        <v>867</v>
      </c>
      <c r="C12" s="476">
        <v>15000</v>
      </c>
      <c r="D12" s="477">
        <v>22000</v>
      </c>
      <c r="E12" s="492">
        <v>21885</v>
      </c>
      <c r="F12" s="477">
        <v>23000</v>
      </c>
      <c r="G12" s="477"/>
      <c r="H12" s="493">
        <v>630</v>
      </c>
      <c r="I12" s="493">
        <v>1665</v>
      </c>
      <c r="J12" s="493">
        <v>3825</v>
      </c>
      <c r="K12" s="493">
        <v>12735</v>
      </c>
      <c r="L12" s="493">
        <v>18945</v>
      </c>
      <c r="M12" s="493">
        <v>19500</v>
      </c>
      <c r="N12" s="493">
        <v>19635</v>
      </c>
      <c r="O12" s="493">
        <v>19725</v>
      </c>
      <c r="P12" s="493">
        <v>21795</v>
      </c>
      <c r="Q12" s="493">
        <v>26070</v>
      </c>
      <c r="R12" s="494">
        <v>31015</v>
      </c>
      <c r="S12" s="495"/>
      <c r="T12" s="816">
        <v>37605</v>
      </c>
    </row>
    <row r="13" spans="1:22" x14ac:dyDescent="0.25">
      <c r="A13" s="474" t="s">
        <v>40</v>
      </c>
      <c r="B13" s="475" t="s">
        <v>868</v>
      </c>
      <c r="C13" s="476">
        <v>1500</v>
      </c>
      <c r="D13" s="477">
        <v>1500</v>
      </c>
      <c r="E13" s="492">
        <v>374</v>
      </c>
      <c r="F13" s="477">
        <v>1500</v>
      </c>
      <c r="G13" s="477"/>
      <c r="H13" s="493">
        <v>0</v>
      </c>
      <c r="I13" s="493">
        <v>0</v>
      </c>
      <c r="J13" s="493">
        <v>0</v>
      </c>
      <c r="K13" s="493">
        <v>0</v>
      </c>
      <c r="L13" s="493">
        <v>0</v>
      </c>
      <c r="M13" s="493">
        <v>0</v>
      </c>
      <c r="N13" s="493">
        <v>0</v>
      </c>
      <c r="O13" s="493">
        <v>0</v>
      </c>
      <c r="P13" s="493">
        <v>0</v>
      </c>
      <c r="Q13" s="493">
        <v>0</v>
      </c>
      <c r="R13" s="493">
        <v>20</v>
      </c>
      <c r="S13" s="495"/>
      <c r="T13" s="819">
        <v>318</v>
      </c>
    </row>
    <row r="14" spans="1:22" x14ac:dyDescent="0.25">
      <c r="A14" s="474" t="s">
        <v>43</v>
      </c>
      <c r="B14" s="475" t="s">
        <v>869</v>
      </c>
      <c r="C14" s="476">
        <v>4500</v>
      </c>
      <c r="D14" s="477">
        <v>4500</v>
      </c>
      <c r="E14" s="492">
        <v>3030</v>
      </c>
      <c r="F14" s="477">
        <v>4500</v>
      </c>
      <c r="G14" s="477"/>
      <c r="H14" s="493">
        <v>330</v>
      </c>
      <c r="I14" s="493">
        <v>450</v>
      </c>
      <c r="J14" s="493">
        <v>420</v>
      </c>
      <c r="K14" s="493">
        <v>810</v>
      </c>
      <c r="L14" s="493">
        <v>1170</v>
      </c>
      <c r="M14" s="493">
        <v>1200</v>
      </c>
      <c r="N14" s="493">
        <v>1320</v>
      </c>
      <c r="O14" s="493">
        <v>1770</v>
      </c>
      <c r="P14" s="493">
        <v>1860</v>
      </c>
      <c r="Q14" s="493">
        <v>2220</v>
      </c>
      <c r="R14" s="493">
        <v>2490</v>
      </c>
      <c r="S14" s="495"/>
      <c r="T14" s="819">
        <v>2550</v>
      </c>
    </row>
    <row r="15" spans="1:22" x14ac:dyDescent="0.25">
      <c r="A15" s="474" t="s">
        <v>80</v>
      </c>
      <c r="B15" s="475" t="s">
        <v>870</v>
      </c>
      <c r="C15" s="476">
        <v>16000</v>
      </c>
      <c r="D15" s="477">
        <v>30000</v>
      </c>
      <c r="E15" s="478">
        <v>32235</v>
      </c>
      <c r="F15" s="477">
        <v>32000</v>
      </c>
      <c r="G15" s="477"/>
      <c r="H15" s="493">
        <v>50</v>
      </c>
      <c r="I15" s="493">
        <v>1700</v>
      </c>
      <c r="J15" s="493">
        <v>6110</v>
      </c>
      <c r="K15" s="493">
        <v>15060</v>
      </c>
      <c r="L15" s="493">
        <v>18585</v>
      </c>
      <c r="M15" s="493">
        <v>18285</v>
      </c>
      <c r="N15" s="493">
        <v>18285</v>
      </c>
      <c r="O15" s="493">
        <v>19135</v>
      </c>
      <c r="P15" s="493">
        <v>19885</v>
      </c>
      <c r="Q15" s="493">
        <v>21105</v>
      </c>
      <c r="R15" s="493">
        <v>22795</v>
      </c>
      <c r="S15" s="480"/>
      <c r="T15" s="819">
        <v>24965</v>
      </c>
    </row>
    <row r="16" spans="1:22" x14ac:dyDescent="0.25">
      <c r="A16" s="468" t="s">
        <v>871</v>
      </c>
      <c r="B16" s="469" t="s">
        <v>872</v>
      </c>
      <c r="C16" s="476">
        <v>0</v>
      </c>
      <c r="D16" s="477">
        <v>0</v>
      </c>
      <c r="E16" s="492">
        <v>0</v>
      </c>
      <c r="F16" s="477">
        <v>0</v>
      </c>
      <c r="G16" s="477"/>
      <c r="H16" s="493">
        <v>0</v>
      </c>
      <c r="I16" s="493">
        <v>0</v>
      </c>
      <c r="J16" s="493">
        <v>0</v>
      </c>
      <c r="K16" s="493">
        <v>0</v>
      </c>
      <c r="L16" s="493">
        <v>0</v>
      </c>
      <c r="M16" s="493">
        <v>0</v>
      </c>
      <c r="N16" s="493">
        <v>0</v>
      </c>
      <c r="O16" s="493">
        <v>0</v>
      </c>
      <c r="P16" s="493">
        <v>0</v>
      </c>
      <c r="Q16" s="493">
        <v>0</v>
      </c>
      <c r="R16" s="493">
        <v>0</v>
      </c>
      <c r="S16" s="495"/>
      <c r="T16" s="819">
        <v>0</v>
      </c>
    </row>
    <row r="17" spans="1:22" x14ac:dyDescent="0.25">
      <c r="A17" s="474" t="s">
        <v>77</v>
      </c>
      <c r="B17" s="475" t="s">
        <v>873</v>
      </c>
      <c r="C17" s="476">
        <v>12000</v>
      </c>
      <c r="D17" s="477">
        <v>18000</v>
      </c>
      <c r="E17" s="478">
        <v>21540.5</v>
      </c>
      <c r="F17" s="477">
        <v>24000</v>
      </c>
      <c r="G17" s="477"/>
      <c r="H17" s="493">
        <v>1710</v>
      </c>
      <c r="I17" s="493">
        <v>4956</v>
      </c>
      <c r="J17" s="493">
        <v>5296</v>
      </c>
      <c r="K17" s="493">
        <v>9220</v>
      </c>
      <c r="L17" s="493">
        <v>11895</v>
      </c>
      <c r="M17" s="493">
        <v>11895</v>
      </c>
      <c r="N17" s="493">
        <v>11895</v>
      </c>
      <c r="O17" s="493">
        <v>12480</v>
      </c>
      <c r="P17" s="493">
        <v>15336</v>
      </c>
      <c r="Q17" s="493">
        <v>19185</v>
      </c>
      <c r="R17" s="493">
        <v>22436</v>
      </c>
      <c r="S17" s="480"/>
      <c r="T17" s="819">
        <v>23964</v>
      </c>
    </row>
    <row r="18" spans="1:22" x14ac:dyDescent="0.25">
      <c r="A18" s="474" t="s">
        <v>874</v>
      </c>
      <c r="B18" s="475" t="s">
        <v>875</v>
      </c>
      <c r="C18" s="476">
        <v>5000</v>
      </c>
      <c r="D18" s="477">
        <v>0</v>
      </c>
      <c r="E18" s="496">
        <v>-20</v>
      </c>
      <c r="F18" s="477">
        <v>2500</v>
      </c>
      <c r="G18" s="477"/>
      <c r="H18" s="493">
        <v>0</v>
      </c>
      <c r="I18" s="493">
        <v>0</v>
      </c>
      <c r="J18" s="493">
        <v>0</v>
      </c>
      <c r="K18" s="493">
        <v>0</v>
      </c>
      <c r="L18" s="493">
        <v>0</v>
      </c>
      <c r="M18" s="493">
        <v>0</v>
      </c>
      <c r="N18" s="493">
        <v>0</v>
      </c>
      <c r="O18" s="493">
        <v>0</v>
      </c>
      <c r="P18" s="493">
        <v>0</v>
      </c>
      <c r="Q18" s="493">
        <v>0</v>
      </c>
      <c r="R18" s="493">
        <v>0</v>
      </c>
      <c r="S18" s="495"/>
      <c r="T18" s="819">
        <v>0</v>
      </c>
    </row>
    <row r="19" spans="1:22" x14ac:dyDescent="0.25">
      <c r="A19" s="474" t="s">
        <v>876</v>
      </c>
      <c r="B19" s="475" t="s">
        <v>877</v>
      </c>
      <c r="C19" s="476">
        <v>2000</v>
      </c>
      <c r="D19" s="477">
        <v>-10000</v>
      </c>
      <c r="E19" s="492">
        <v>-9353.7000000000007</v>
      </c>
      <c r="F19" s="477">
        <v>14500</v>
      </c>
      <c r="G19" s="477"/>
      <c r="H19" s="493">
        <v>0</v>
      </c>
      <c r="I19" s="493">
        <v>0</v>
      </c>
      <c r="J19" s="493">
        <v>0</v>
      </c>
      <c r="K19" s="493">
        <v>0</v>
      </c>
      <c r="L19" s="493">
        <v>0</v>
      </c>
      <c r="M19" s="493">
        <v>0</v>
      </c>
      <c r="N19" s="493">
        <v>0</v>
      </c>
      <c r="O19" s="493">
        <v>0</v>
      </c>
      <c r="P19" s="493">
        <v>0</v>
      </c>
      <c r="Q19" s="493">
        <v>0</v>
      </c>
      <c r="R19" s="493">
        <v>0</v>
      </c>
      <c r="S19" s="495"/>
      <c r="T19" s="819">
        <v>0</v>
      </c>
    </row>
    <row r="20" spans="1:22" x14ac:dyDescent="0.25">
      <c r="A20" s="474" t="s">
        <v>878</v>
      </c>
      <c r="B20" s="475" t="s">
        <v>879</v>
      </c>
      <c r="C20" s="476">
        <v>3000</v>
      </c>
      <c r="D20" s="477">
        <v>-2000</v>
      </c>
      <c r="E20" s="492">
        <v>-1917.83</v>
      </c>
      <c r="F20" s="477">
        <v>10000</v>
      </c>
      <c r="G20" s="477"/>
      <c r="H20" s="493">
        <v>0</v>
      </c>
      <c r="I20" s="493">
        <v>0</v>
      </c>
      <c r="J20" s="493">
        <v>0</v>
      </c>
      <c r="K20" s="493">
        <v>0</v>
      </c>
      <c r="L20" s="493">
        <v>0</v>
      </c>
      <c r="M20" s="493">
        <v>0</v>
      </c>
      <c r="N20" s="493">
        <v>0</v>
      </c>
      <c r="O20" s="493">
        <v>0</v>
      </c>
      <c r="P20" s="493">
        <v>0</v>
      </c>
      <c r="Q20" s="493">
        <v>0</v>
      </c>
      <c r="R20" s="493">
        <v>0</v>
      </c>
      <c r="S20" s="495"/>
      <c r="T20" s="819">
        <v>0</v>
      </c>
    </row>
    <row r="21" spans="1:22" x14ac:dyDescent="0.25">
      <c r="A21" s="497" t="s">
        <v>30</v>
      </c>
      <c r="B21" s="498" t="s">
        <v>880</v>
      </c>
      <c r="C21" s="476">
        <v>0</v>
      </c>
      <c r="D21" s="477">
        <v>0</v>
      </c>
      <c r="E21" s="492">
        <v>0</v>
      </c>
      <c r="F21" s="477">
        <v>0</v>
      </c>
      <c r="G21" s="477"/>
      <c r="H21" s="493">
        <v>0</v>
      </c>
      <c r="I21" s="493">
        <v>0</v>
      </c>
      <c r="J21" s="493">
        <v>0</v>
      </c>
      <c r="K21" s="493">
        <v>0</v>
      </c>
      <c r="L21" s="493">
        <v>0</v>
      </c>
      <c r="M21" s="493">
        <v>0</v>
      </c>
      <c r="N21" s="493">
        <v>0</v>
      </c>
      <c r="O21" s="493">
        <v>0</v>
      </c>
      <c r="P21" s="493">
        <v>0</v>
      </c>
      <c r="Q21" s="493">
        <v>0</v>
      </c>
      <c r="R21" s="493">
        <v>0</v>
      </c>
      <c r="S21" s="495"/>
      <c r="T21" s="819">
        <v>0</v>
      </c>
    </row>
    <row r="22" spans="1:22" x14ac:dyDescent="0.25">
      <c r="A22" s="499" t="s">
        <v>62</v>
      </c>
      <c r="B22" s="500" t="s">
        <v>881</v>
      </c>
      <c r="C22" s="476">
        <v>8000</v>
      </c>
      <c r="D22" s="477">
        <v>8000</v>
      </c>
      <c r="E22" s="492">
        <v>6296</v>
      </c>
      <c r="F22" s="477">
        <v>7000</v>
      </c>
      <c r="G22" s="477"/>
      <c r="H22" s="493">
        <v>635</v>
      </c>
      <c r="I22" s="493">
        <v>1292</v>
      </c>
      <c r="J22" s="493">
        <v>2037</v>
      </c>
      <c r="K22" s="493">
        <v>2490</v>
      </c>
      <c r="L22" s="493">
        <v>3020</v>
      </c>
      <c r="M22" s="493">
        <v>3455</v>
      </c>
      <c r="N22" s="493">
        <v>3499.8</v>
      </c>
      <c r="O22" s="493">
        <v>4341.55</v>
      </c>
      <c r="P22" s="493">
        <v>5027.55</v>
      </c>
      <c r="Q22" s="493">
        <v>5399.55</v>
      </c>
      <c r="R22" s="493">
        <v>5621.55</v>
      </c>
      <c r="S22" s="495"/>
      <c r="T22" s="819">
        <v>6229.55</v>
      </c>
    </row>
    <row r="23" spans="1:22" x14ac:dyDescent="0.25">
      <c r="A23" s="501"/>
      <c r="B23" s="502" t="s">
        <v>882</v>
      </c>
      <c r="C23" s="503">
        <f t="shared" ref="C23" si="0">SUM(C7:C22)</f>
        <v>72000</v>
      </c>
      <c r="D23" s="504">
        <f>SUM(D7:D22)</f>
        <v>74000</v>
      </c>
      <c r="E23" s="505">
        <f t="shared" ref="E23:S23" si="1">SUM(E7:E22)</f>
        <v>76703.97</v>
      </c>
      <c r="F23" s="504">
        <f t="shared" si="1"/>
        <v>125000</v>
      </c>
      <c r="G23" s="504">
        <f>SUM(G7:G22)</f>
        <v>0</v>
      </c>
      <c r="H23" s="506">
        <f t="shared" si="1"/>
        <v>3355</v>
      </c>
      <c r="I23" s="506">
        <f t="shared" si="1"/>
        <v>10063</v>
      </c>
      <c r="J23" s="506">
        <f t="shared" si="1"/>
        <v>17688</v>
      </c>
      <c r="K23" s="506">
        <f t="shared" si="1"/>
        <v>40315</v>
      </c>
      <c r="L23" s="506">
        <f t="shared" si="1"/>
        <v>53615</v>
      </c>
      <c r="M23" s="506">
        <f t="shared" si="1"/>
        <v>54335</v>
      </c>
      <c r="N23" s="506">
        <f t="shared" si="1"/>
        <v>54634.8</v>
      </c>
      <c r="O23" s="506">
        <f t="shared" si="1"/>
        <v>57451.55</v>
      </c>
      <c r="P23" s="506">
        <f t="shared" si="1"/>
        <v>64983.55</v>
      </c>
      <c r="Q23" s="506">
        <f t="shared" si="1"/>
        <v>75934.55</v>
      </c>
      <c r="R23" s="506">
        <f t="shared" si="1"/>
        <v>89017.55</v>
      </c>
      <c r="S23" s="506">
        <f t="shared" si="1"/>
        <v>0</v>
      </c>
      <c r="T23" s="820">
        <f t="shared" ref="T23" si="2">SUM(T7:T22)</f>
        <v>101836.55</v>
      </c>
    </row>
    <row r="24" spans="1:22" x14ac:dyDescent="0.25">
      <c r="A24" s="474" t="s">
        <v>883</v>
      </c>
      <c r="B24" s="475" t="s">
        <v>16</v>
      </c>
      <c r="C24" s="507">
        <v>1221000</v>
      </c>
      <c r="D24" s="508">
        <v>1180000</v>
      </c>
      <c r="E24" s="509">
        <v>1136728.4099999999</v>
      </c>
      <c r="F24" s="508">
        <v>560000</v>
      </c>
      <c r="G24" s="508"/>
      <c r="H24" s="493">
        <v>764.98</v>
      </c>
      <c r="I24" s="493">
        <v>1196.1500000000001</v>
      </c>
      <c r="J24" s="493">
        <v>2802.21</v>
      </c>
      <c r="K24" s="510">
        <v>2901.21</v>
      </c>
      <c r="L24" s="510">
        <v>3865.46</v>
      </c>
      <c r="M24" s="511">
        <v>25924.46</v>
      </c>
      <c r="N24" s="511">
        <v>25924.46</v>
      </c>
      <c r="O24" s="510">
        <v>278895.26</v>
      </c>
      <c r="P24" s="511">
        <v>490566.36</v>
      </c>
      <c r="Q24" s="511">
        <v>531850.54</v>
      </c>
      <c r="R24" s="510">
        <v>540330.5</v>
      </c>
      <c r="S24" s="510"/>
      <c r="T24" s="821">
        <v>578722.64</v>
      </c>
    </row>
    <row r="25" spans="1:22" x14ac:dyDescent="0.25">
      <c r="A25" s="474" t="s">
        <v>100</v>
      </c>
      <c r="B25" s="475" t="s">
        <v>884</v>
      </c>
      <c r="C25" s="512">
        <v>0</v>
      </c>
      <c r="D25" s="513">
        <v>0</v>
      </c>
      <c r="E25" s="514">
        <v>0</v>
      </c>
      <c r="F25" s="513">
        <v>0</v>
      </c>
      <c r="G25" s="513"/>
      <c r="H25" s="493">
        <v>0</v>
      </c>
      <c r="I25" s="493">
        <v>0</v>
      </c>
      <c r="J25" s="493">
        <v>0</v>
      </c>
      <c r="K25" s="493">
        <v>0</v>
      </c>
      <c r="L25" s="493">
        <v>0</v>
      </c>
      <c r="M25" s="493">
        <v>0</v>
      </c>
      <c r="N25" s="493">
        <v>0</v>
      </c>
      <c r="O25" s="493">
        <v>0</v>
      </c>
      <c r="P25" s="493">
        <v>0</v>
      </c>
      <c r="Q25" s="493">
        <v>0</v>
      </c>
      <c r="R25" s="493">
        <v>0</v>
      </c>
      <c r="S25" s="493"/>
      <c r="T25" s="822">
        <v>0</v>
      </c>
    </row>
    <row r="26" spans="1:22" x14ac:dyDescent="0.25">
      <c r="A26" s="474" t="s">
        <v>105</v>
      </c>
      <c r="B26" s="475" t="s">
        <v>885</v>
      </c>
      <c r="C26" s="512">
        <v>0</v>
      </c>
      <c r="D26" s="513">
        <v>0</v>
      </c>
      <c r="E26" s="514">
        <v>0</v>
      </c>
      <c r="F26" s="513">
        <v>195000</v>
      </c>
      <c r="G26" s="513"/>
      <c r="H26" s="493">
        <v>0</v>
      </c>
      <c r="I26" s="493">
        <v>0</v>
      </c>
      <c r="J26" s="493">
        <v>0</v>
      </c>
      <c r="K26" s="493">
        <v>0</v>
      </c>
      <c r="L26" s="493">
        <v>0</v>
      </c>
      <c r="M26" s="493">
        <v>0</v>
      </c>
      <c r="N26" s="493">
        <v>0</v>
      </c>
      <c r="O26" s="493">
        <v>0</v>
      </c>
      <c r="P26" s="493">
        <v>0</v>
      </c>
      <c r="Q26" s="493">
        <v>0</v>
      </c>
      <c r="R26" s="493">
        <v>0</v>
      </c>
      <c r="S26" s="493"/>
      <c r="T26" s="822">
        <v>195000</v>
      </c>
    </row>
    <row r="27" spans="1:22" x14ac:dyDescent="0.25">
      <c r="A27" s="474" t="s">
        <v>109</v>
      </c>
      <c r="B27" s="475" t="s">
        <v>886</v>
      </c>
      <c r="C27" s="515">
        <v>800000</v>
      </c>
      <c r="D27" s="516">
        <v>800000</v>
      </c>
      <c r="E27" s="517">
        <v>807186.09</v>
      </c>
      <c r="F27" s="516">
        <v>600000</v>
      </c>
      <c r="G27" s="516"/>
      <c r="H27" s="510">
        <v>625360.34</v>
      </c>
      <c r="I27" s="510">
        <v>625360.34</v>
      </c>
      <c r="J27" s="510">
        <v>625360.34</v>
      </c>
      <c r="K27" s="510">
        <v>625360.34</v>
      </c>
      <c r="L27" s="510">
        <v>625360.34</v>
      </c>
      <c r="M27" s="510">
        <v>625360.34</v>
      </c>
      <c r="N27" s="510">
        <v>625360.34</v>
      </c>
      <c r="O27" s="510">
        <v>625360.34</v>
      </c>
      <c r="P27" s="510">
        <v>625360.34</v>
      </c>
      <c r="Q27" s="510">
        <v>625360.34</v>
      </c>
      <c r="R27" s="510">
        <v>625360.34</v>
      </c>
      <c r="S27" s="510"/>
      <c r="T27" s="823">
        <v>625360.34</v>
      </c>
    </row>
    <row r="28" spans="1:22" s="523" customFormat="1" x14ac:dyDescent="0.25">
      <c r="A28" s="518"/>
      <c r="B28" s="502" t="s">
        <v>887</v>
      </c>
      <c r="C28" s="503">
        <f t="shared" ref="C28:S28" si="3">SUM(C24:C27)</f>
        <v>2021000</v>
      </c>
      <c r="D28" s="504">
        <f t="shared" si="3"/>
        <v>1980000</v>
      </c>
      <c r="E28" s="505">
        <f t="shared" si="3"/>
        <v>1943914.5</v>
      </c>
      <c r="F28" s="504">
        <f t="shared" si="3"/>
        <v>1355000</v>
      </c>
      <c r="G28" s="504">
        <f t="shared" si="3"/>
        <v>0</v>
      </c>
      <c r="H28" s="519">
        <f t="shared" si="3"/>
        <v>626125.31999999995</v>
      </c>
      <c r="I28" s="519">
        <f t="shared" si="3"/>
        <v>626556.49</v>
      </c>
      <c r="J28" s="519">
        <f t="shared" si="3"/>
        <v>628162.54999999993</v>
      </c>
      <c r="K28" s="519">
        <f t="shared" si="3"/>
        <v>628261.54999999993</v>
      </c>
      <c r="L28" s="520">
        <f t="shared" si="3"/>
        <v>629225.79999999993</v>
      </c>
      <c r="M28" s="520">
        <f t="shared" si="3"/>
        <v>651284.79999999993</v>
      </c>
      <c r="N28" s="520">
        <f t="shared" si="3"/>
        <v>651284.79999999993</v>
      </c>
      <c r="O28" s="519">
        <f t="shared" si="3"/>
        <v>904255.6</v>
      </c>
      <c r="P28" s="521">
        <f t="shared" si="3"/>
        <v>1115926.7</v>
      </c>
      <c r="Q28" s="521">
        <f t="shared" si="3"/>
        <v>1157210.8799999999</v>
      </c>
      <c r="R28" s="521">
        <f t="shared" si="3"/>
        <v>1165690.8399999999</v>
      </c>
      <c r="S28" s="520">
        <f t="shared" si="3"/>
        <v>0</v>
      </c>
      <c r="T28" s="824">
        <f t="shared" ref="T28" si="4">SUM(T24:T27)</f>
        <v>1399082.98</v>
      </c>
      <c r="U28" s="522"/>
      <c r="V28" s="460"/>
    </row>
    <row r="29" spans="1:22" x14ac:dyDescent="0.25">
      <c r="A29" s="475"/>
      <c r="B29" s="524"/>
      <c r="C29" s="512"/>
      <c r="D29" s="513"/>
      <c r="E29" s="525"/>
      <c r="F29" s="513"/>
      <c r="G29" s="513"/>
      <c r="H29" s="526"/>
      <c r="I29" s="526"/>
      <c r="J29" s="526"/>
      <c r="K29" s="526"/>
      <c r="L29" s="526"/>
      <c r="M29" s="527"/>
      <c r="N29" s="527"/>
      <c r="O29" s="527"/>
      <c r="P29" s="526"/>
      <c r="Q29" s="526"/>
      <c r="R29" s="526"/>
      <c r="S29" s="526"/>
      <c r="T29" s="825"/>
    </row>
    <row r="30" spans="1:22" s="523" customFormat="1" x14ac:dyDescent="0.25">
      <c r="A30" s="518"/>
      <c r="B30" s="502" t="s">
        <v>888</v>
      </c>
      <c r="C30" s="528">
        <f t="shared" ref="C30:T30" si="5">C23+C28</f>
        <v>2093000</v>
      </c>
      <c r="D30" s="529">
        <f t="shared" si="5"/>
        <v>2054000</v>
      </c>
      <c r="E30" s="530">
        <f t="shared" si="5"/>
        <v>2020618.47</v>
      </c>
      <c r="F30" s="529">
        <f t="shared" si="5"/>
        <v>1480000</v>
      </c>
      <c r="G30" s="529">
        <f t="shared" si="5"/>
        <v>0</v>
      </c>
      <c r="H30" s="531">
        <f t="shared" si="5"/>
        <v>629480.31999999995</v>
      </c>
      <c r="I30" s="531">
        <f t="shared" si="5"/>
        <v>636619.49</v>
      </c>
      <c r="J30" s="531">
        <f t="shared" si="5"/>
        <v>645850.54999999993</v>
      </c>
      <c r="K30" s="531">
        <f t="shared" si="5"/>
        <v>668576.54999999993</v>
      </c>
      <c r="L30" s="532">
        <f t="shared" si="5"/>
        <v>682840.79999999993</v>
      </c>
      <c r="M30" s="531">
        <f t="shared" si="5"/>
        <v>705619.79999999993</v>
      </c>
      <c r="N30" s="531">
        <f t="shared" si="5"/>
        <v>705919.6</v>
      </c>
      <c r="O30" s="531">
        <f t="shared" si="5"/>
        <v>961707.15</v>
      </c>
      <c r="P30" s="533">
        <f t="shared" si="5"/>
        <v>1180910.25</v>
      </c>
      <c r="Q30" s="533">
        <f t="shared" si="5"/>
        <v>1233145.43</v>
      </c>
      <c r="R30" s="533">
        <f t="shared" si="5"/>
        <v>1254708.3899999999</v>
      </c>
      <c r="S30" s="532">
        <f t="shared" si="5"/>
        <v>0</v>
      </c>
      <c r="T30" s="826">
        <f t="shared" si="5"/>
        <v>1500919.53</v>
      </c>
      <c r="U30" s="522"/>
      <c r="V30" s="460"/>
    </row>
    <row r="31" spans="1:22" x14ac:dyDescent="0.25">
      <c r="A31" s="534" t="s">
        <v>122</v>
      </c>
      <c r="B31" s="536"/>
      <c r="C31" s="537"/>
      <c r="D31" s="538"/>
      <c r="E31" s="539"/>
      <c r="F31" s="538"/>
      <c r="G31" s="538"/>
      <c r="H31" s="540"/>
      <c r="I31" s="540"/>
      <c r="J31" s="540"/>
      <c r="K31" s="540"/>
      <c r="L31" s="540"/>
      <c r="M31" s="540"/>
      <c r="N31" s="540"/>
      <c r="O31" s="540"/>
      <c r="P31" s="540"/>
      <c r="Q31" s="540"/>
      <c r="R31" s="540"/>
      <c r="S31" s="540"/>
      <c r="T31" s="827"/>
    </row>
    <row r="32" spans="1:22" x14ac:dyDescent="0.25">
      <c r="A32" s="687" t="s">
        <v>127</v>
      </c>
      <c r="B32" s="688" t="s">
        <v>889</v>
      </c>
      <c r="C32" s="689">
        <v>25000</v>
      </c>
      <c r="D32" s="686">
        <v>25000</v>
      </c>
      <c r="E32" s="696">
        <v>24850</v>
      </c>
      <c r="F32" s="686">
        <v>25000</v>
      </c>
      <c r="G32" s="544"/>
      <c r="H32" s="546">
        <v>2100</v>
      </c>
      <c r="I32" s="546">
        <v>3850</v>
      </c>
      <c r="J32" s="546">
        <v>5950</v>
      </c>
      <c r="K32" s="546">
        <v>7875</v>
      </c>
      <c r="L32" s="546">
        <v>10150</v>
      </c>
      <c r="M32" s="546">
        <v>12250</v>
      </c>
      <c r="N32" s="546">
        <v>13125</v>
      </c>
      <c r="O32" s="546">
        <v>15400</v>
      </c>
      <c r="P32" s="546">
        <v>17675</v>
      </c>
      <c r="Q32" s="546">
        <v>19950</v>
      </c>
      <c r="R32" s="546">
        <v>22225</v>
      </c>
      <c r="S32" s="546"/>
      <c r="T32" s="828">
        <v>26775</v>
      </c>
      <c r="U32" s="435" t="s">
        <v>559</v>
      </c>
      <c r="V32" s="460" t="s">
        <v>1366</v>
      </c>
    </row>
    <row r="33" spans="1:25" x14ac:dyDescent="0.25">
      <c r="A33" s="687" t="s">
        <v>128</v>
      </c>
      <c r="B33" s="843" t="s">
        <v>890</v>
      </c>
      <c r="C33" s="689">
        <v>32000</v>
      </c>
      <c r="D33" s="686">
        <v>32000</v>
      </c>
      <c r="E33" s="690">
        <v>21805</v>
      </c>
      <c r="F33" s="686">
        <v>30000</v>
      </c>
      <c r="G33" s="544"/>
      <c r="H33" s="546">
        <v>1380</v>
      </c>
      <c r="I33" s="546">
        <v>4095</v>
      </c>
      <c r="J33" s="546">
        <v>5450</v>
      </c>
      <c r="K33" s="546">
        <v>6250</v>
      </c>
      <c r="L33" s="546">
        <v>8220</v>
      </c>
      <c r="M33" s="546">
        <v>9260</v>
      </c>
      <c r="N33" s="546">
        <v>9415</v>
      </c>
      <c r="O33" s="546">
        <v>10555</v>
      </c>
      <c r="P33" s="548">
        <v>11395</v>
      </c>
      <c r="Q33" s="548">
        <v>12970</v>
      </c>
      <c r="R33" s="548">
        <v>13890</v>
      </c>
      <c r="S33" s="548"/>
      <c r="T33" s="829">
        <v>15180</v>
      </c>
      <c r="U33" s="435">
        <f>F33*0.4</f>
        <v>12000</v>
      </c>
      <c r="V33" s="691">
        <f>F33*0.6</f>
        <v>18000</v>
      </c>
      <c r="W33" s="435">
        <f>SUM(U33:V33)</f>
        <v>30000</v>
      </c>
      <c r="Y33" s="620">
        <f>T33+T36</f>
        <v>25945</v>
      </c>
    </row>
    <row r="34" spans="1:25" x14ac:dyDescent="0.25">
      <c r="A34" s="687" t="s">
        <v>129</v>
      </c>
      <c r="B34" s="843" t="s">
        <v>891</v>
      </c>
      <c r="C34" s="689">
        <v>25000</v>
      </c>
      <c r="D34" s="686">
        <v>25000</v>
      </c>
      <c r="E34" s="690">
        <v>20630</v>
      </c>
      <c r="F34" s="686">
        <v>25000</v>
      </c>
      <c r="G34" s="544"/>
      <c r="H34" s="546">
        <v>1300</v>
      </c>
      <c r="I34" s="546">
        <v>3100</v>
      </c>
      <c r="J34" s="546">
        <v>5050</v>
      </c>
      <c r="K34" s="546">
        <v>8340</v>
      </c>
      <c r="L34" s="546">
        <v>10030</v>
      </c>
      <c r="M34" s="546">
        <v>11550</v>
      </c>
      <c r="N34" s="546">
        <v>11590</v>
      </c>
      <c r="O34" s="546">
        <v>12970</v>
      </c>
      <c r="P34" s="548">
        <v>14510</v>
      </c>
      <c r="Q34" s="548">
        <v>16950</v>
      </c>
      <c r="R34" s="548">
        <v>17880</v>
      </c>
      <c r="S34" s="548"/>
      <c r="T34" s="829">
        <v>19640</v>
      </c>
    </row>
    <row r="35" spans="1:25" x14ac:dyDescent="0.25">
      <c r="A35" s="687" t="s">
        <v>130</v>
      </c>
      <c r="B35" s="688" t="s">
        <v>892</v>
      </c>
      <c r="C35" s="543">
        <v>1000</v>
      </c>
      <c r="D35" s="544">
        <v>1000</v>
      </c>
      <c r="E35" s="547">
        <v>200</v>
      </c>
      <c r="F35" s="686">
        <v>500</v>
      </c>
      <c r="G35" s="544"/>
      <c r="H35" s="546">
        <v>0</v>
      </c>
      <c r="I35" s="546">
        <v>0</v>
      </c>
      <c r="J35" s="546">
        <v>80</v>
      </c>
      <c r="K35" s="546">
        <v>120</v>
      </c>
      <c r="L35" s="546">
        <v>120</v>
      </c>
      <c r="M35" s="546">
        <v>150</v>
      </c>
      <c r="N35" s="546">
        <v>150</v>
      </c>
      <c r="O35" s="546">
        <v>180</v>
      </c>
      <c r="P35" s="548">
        <v>180</v>
      </c>
      <c r="Q35" s="548">
        <v>180</v>
      </c>
      <c r="R35" s="548">
        <v>180</v>
      </c>
      <c r="S35" s="548"/>
      <c r="T35" s="829">
        <v>180</v>
      </c>
      <c r="Y35" s="620"/>
    </row>
    <row r="36" spans="1:25" x14ac:dyDescent="0.25">
      <c r="A36" s="687" t="s">
        <v>132</v>
      </c>
      <c r="B36" s="843" t="s">
        <v>893</v>
      </c>
      <c r="C36" s="689">
        <v>12000</v>
      </c>
      <c r="D36" s="686">
        <v>12000</v>
      </c>
      <c r="E36" s="690">
        <v>12125</v>
      </c>
      <c r="F36" s="686">
        <v>13500</v>
      </c>
      <c r="G36" s="544"/>
      <c r="H36" s="546">
        <v>945</v>
      </c>
      <c r="I36" s="546">
        <v>1905</v>
      </c>
      <c r="J36" s="546">
        <v>3275</v>
      </c>
      <c r="K36" s="546">
        <v>4295</v>
      </c>
      <c r="L36" s="546">
        <v>5580</v>
      </c>
      <c r="M36" s="546">
        <v>6080</v>
      </c>
      <c r="N36" s="546">
        <v>6080</v>
      </c>
      <c r="O36" s="546">
        <v>7110</v>
      </c>
      <c r="P36" s="548">
        <v>8140</v>
      </c>
      <c r="Q36" s="548">
        <v>8720</v>
      </c>
      <c r="R36" s="548">
        <v>9615</v>
      </c>
      <c r="S36" s="548"/>
      <c r="T36" s="829">
        <v>10765</v>
      </c>
      <c r="U36" s="435">
        <f>F36*0.4</f>
        <v>5400</v>
      </c>
      <c r="V36" s="691">
        <f>F36*0.6</f>
        <v>8100</v>
      </c>
      <c r="W36" s="435">
        <f>SUM(U36:V36)</f>
        <v>13500</v>
      </c>
      <c r="Y36" s="620"/>
    </row>
    <row r="37" spans="1:25" x14ac:dyDescent="0.25">
      <c r="A37" s="687" t="s">
        <v>894</v>
      </c>
      <c r="B37" s="688" t="s">
        <v>895</v>
      </c>
      <c r="C37" s="543">
        <v>500</v>
      </c>
      <c r="D37" s="544">
        <v>500</v>
      </c>
      <c r="E37" s="547">
        <v>0</v>
      </c>
      <c r="F37" s="686">
        <v>300</v>
      </c>
      <c r="G37" s="544"/>
      <c r="H37" s="546">
        <v>0</v>
      </c>
      <c r="I37" s="546">
        <v>0</v>
      </c>
      <c r="J37" s="546">
        <v>0</v>
      </c>
      <c r="K37" s="546">
        <v>0</v>
      </c>
      <c r="L37" s="546">
        <v>0</v>
      </c>
      <c r="M37" s="546">
        <v>0</v>
      </c>
      <c r="N37" s="546">
        <v>0</v>
      </c>
      <c r="O37" s="546">
        <v>0</v>
      </c>
      <c r="P37" s="548">
        <v>0</v>
      </c>
      <c r="Q37" s="548">
        <v>0</v>
      </c>
      <c r="R37" s="548">
        <v>0</v>
      </c>
      <c r="S37" s="548"/>
      <c r="T37" s="829">
        <v>0</v>
      </c>
      <c r="Y37" s="620"/>
    </row>
    <row r="38" spans="1:25" s="491" customFormat="1" x14ac:dyDescent="0.25">
      <c r="A38" s="549" t="s">
        <v>896</v>
      </c>
      <c r="B38" s="550" t="s">
        <v>897</v>
      </c>
      <c r="C38" s="551"/>
      <c r="D38" s="552"/>
      <c r="E38" s="553"/>
      <c r="F38" s="552"/>
      <c r="G38" s="552"/>
      <c r="H38" s="554"/>
      <c r="I38" s="554"/>
      <c r="J38" s="554"/>
      <c r="K38" s="554"/>
      <c r="L38" s="554"/>
      <c r="M38" s="554"/>
      <c r="N38" s="554"/>
      <c r="O38" s="554"/>
      <c r="P38" s="555"/>
      <c r="Q38" s="555"/>
      <c r="R38" s="555"/>
      <c r="S38" s="555"/>
      <c r="T38" s="830"/>
      <c r="U38" s="490"/>
      <c r="V38" s="460"/>
    </row>
    <row r="39" spans="1:25" s="491" customFormat="1" x14ac:dyDescent="0.25">
      <c r="A39" s="549" t="s">
        <v>898</v>
      </c>
      <c r="B39" s="550" t="s">
        <v>899</v>
      </c>
      <c r="C39" s="551"/>
      <c r="D39" s="552"/>
      <c r="E39" s="553"/>
      <c r="F39" s="552"/>
      <c r="G39" s="552"/>
      <c r="H39" s="554"/>
      <c r="I39" s="554"/>
      <c r="J39" s="554"/>
      <c r="K39" s="554"/>
      <c r="L39" s="554"/>
      <c r="M39" s="554"/>
      <c r="N39" s="554"/>
      <c r="O39" s="554"/>
      <c r="P39" s="555"/>
      <c r="Q39" s="555"/>
      <c r="R39" s="555"/>
      <c r="S39" s="555"/>
      <c r="T39" s="830"/>
      <c r="U39" s="490"/>
      <c r="V39" s="621" t="s">
        <v>133</v>
      </c>
    </row>
    <row r="40" spans="1:25" s="491" customFormat="1" x14ac:dyDescent="0.25">
      <c r="A40" s="693" t="s">
        <v>158</v>
      </c>
      <c r="B40" s="694" t="s">
        <v>900</v>
      </c>
      <c r="C40" s="689">
        <v>62000</v>
      </c>
      <c r="D40" s="686">
        <v>62000</v>
      </c>
      <c r="E40" s="690">
        <v>60739.199999999997</v>
      </c>
      <c r="F40" s="686">
        <v>63000</v>
      </c>
      <c r="G40" s="544"/>
      <c r="H40" s="546">
        <v>5286.6</v>
      </c>
      <c r="I40" s="546">
        <v>9673.2000000000007</v>
      </c>
      <c r="J40" s="546">
        <v>14927.4</v>
      </c>
      <c r="K40" s="546">
        <v>19747.8</v>
      </c>
      <c r="L40" s="546">
        <v>25435.8</v>
      </c>
      <c r="M40" s="546">
        <v>30690</v>
      </c>
      <c r="N40" s="546">
        <v>32859</v>
      </c>
      <c r="O40" s="546">
        <v>38547</v>
      </c>
      <c r="P40" s="548">
        <v>44235</v>
      </c>
      <c r="Q40" s="548">
        <v>49923</v>
      </c>
      <c r="R40" s="548">
        <v>55611</v>
      </c>
      <c r="S40" s="548"/>
      <c r="T40" s="828">
        <v>68187</v>
      </c>
      <c r="U40" s="490"/>
      <c r="V40" s="691">
        <f>F35+F37+F151+F159+F169+F183</f>
        <v>1750</v>
      </c>
    </row>
    <row r="41" spans="1:25" s="491" customFormat="1" x14ac:dyDescent="0.25">
      <c r="A41" s="693" t="s">
        <v>163</v>
      </c>
      <c r="B41" s="694" t="s">
        <v>901</v>
      </c>
      <c r="C41" s="689">
        <v>19000</v>
      </c>
      <c r="D41" s="686">
        <v>19000</v>
      </c>
      <c r="E41" s="695">
        <v>19048.830000000002</v>
      </c>
      <c r="F41" s="686">
        <v>19000</v>
      </c>
      <c r="G41" s="544"/>
      <c r="H41" s="546">
        <v>1639.5</v>
      </c>
      <c r="I41" s="546">
        <v>3153.4</v>
      </c>
      <c r="J41" s="546">
        <v>4983.3</v>
      </c>
      <c r="K41" s="546">
        <v>6799.81</v>
      </c>
      <c r="L41" s="546">
        <v>8616.32</v>
      </c>
      <c r="M41" s="546">
        <v>8616.32</v>
      </c>
      <c r="N41" s="546">
        <v>10432.83</v>
      </c>
      <c r="O41" s="546">
        <v>12249.34</v>
      </c>
      <c r="P41" s="548">
        <v>14065.85</v>
      </c>
      <c r="Q41" s="548">
        <v>15882.36</v>
      </c>
      <c r="R41" s="548">
        <v>17698.87</v>
      </c>
      <c r="S41" s="548"/>
      <c r="T41" s="828">
        <v>21331.89</v>
      </c>
      <c r="U41" s="490"/>
      <c r="V41" s="460"/>
    </row>
    <row r="42" spans="1:25" s="491" customFormat="1" x14ac:dyDescent="0.25">
      <c r="A42" s="693" t="s">
        <v>902</v>
      </c>
      <c r="B42" s="694" t="s">
        <v>903</v>
      </c>
      <c r="C42" s="689">
        <v>500</v>
      </c>
      <c r="D42" s="686">
        <v>500</v>
      </c>
      <c r="E42" s="690">
        <v>0</v>
      </c>
      <c r="F42" s="686">
        <v>200</v>
      </c>
      <c r="G42" s="544"/>
      <c r="H42" s="546">
        <v>0</v>
      </c>
      <c r="I42" s="546">
        <v>0</v>
      </c>
      <c r="J42" s="546">
        <v>0</v>
      </c>
      <c r="K42" s="546">
        <v>0</v>
      </c>
      <c r="L42" s="546">
        <v>0</v>
      </c>
      <c r="M42" s="546">
        <v>0</v>
      </c>
      <c r="N42" s="546">
        <v>0</v>
      </c>
      <c r="O42" s="546">
        <v>0</v>
      </c>
      <c r="P42" s="548">
        <v>0</v>
      </c>
      <c r="Q42" s="548">
        <v>0</v>
      </c>
      <c r="R42" s="548">
        <v>0</v>
      </c>
      <c r="S42" s="548"/>
      <c r="T42" s="829">
        <v>0</v>
      </c>
      <c r="U42" s="490"/>
      <c r="V42" s="460"/>
    </row>
    <row r="43" spans="1:25" s="491" customFormat="1" x14ac:dyDescent="0.25">
      <c r="A43" s="693" t="s">
        <v>166</v>
      </c>
      <c r="B43" s="694" t="s">
        <v>167</v>
      </c>
      <c r="C43" s="689">
        <v>164.27</v>
      </c>
      <c r="D43" s="686">
        <v>164.27</v>
      </c>
      <c r="E43" s="695">
        <v>182.57</v>
      </c>
      <c r="F43" s="686">
        <v>185</v>
      </c>
      <c r="G43" s="544"/>
      <c r="H43" s="546">
        <v>0</v>
      </c>
      <c r="I43" s="546">
        <v>0</v>
      </c>
      <c r="J43" s="546">
        <v>0</v>
      </c>
      <c r="K43" s="546">
        <v>0</v>
      </c>
      <c r="L43" s="546">
        <v>0</v>
      </c>
      <c r="M43" s="546">
        <v>0</v>
      </c>
      <c r="N43" s="546">
        <v>0</v>
      </c>
      <c r="O43" s="546">
        <v>0</v>
      </c>
      <c r="P43" s="556">
        <v>191.51</v>
      </c>
      <c r="Q43" s="556">
        <v>191.51</v>
      </c>
      <c r="R43" s="556">
        <v>191.51</v>
      </c>
      <c r="S43" s="556"/>
      <c r="T43" s="828">
        <v>191.51</v>
      </c>
      <c r="U43" s="490"/>
      <c r="V43" s="460"/>
    </row>
    <row r="44" spans="1:25" s="467" customFormat="1" x14ac:dyDescent="0.25">
      <c r="A44" s="549" t="s">
        <v>904</v>
      </c>
      <c r="B44" s="550" t="s">
        <v>905</v>
      </c>
      <c r="C44" s="551"/>
      <c r="D44" s="552"/>
      <c r="E44" s="557"/>
      <c r="F44" s="552"/>
      <c r="G44" s="552"/>
      <c r="H44" s="558"/>
      <c r="I44" s="558"/>
      <c r="J44" s="558"/>
      <c r="K44" s="558"/>
      <c r="L44" s="558"/>
      <c r="M44" s="558"/>
      <c r="N44" s="558"/>
      <c r="O44" s="558"/>
      <c r="P44" s="559"/>
      <c r="Q44" s="559"/>
      <c r="R44" s="559"/>
      <c r="S44" s="559"/>
      <c r="T44" s="831"/>
      <c r="U44" s="466"/>
      <c r="V44" s="460"/>
    </row>
    <row r="45" spans="1:25" s="491" customFormat="1" x14ac:dyDescent="0.25">
      <c r="A45" s="693" t="s">
        <v>906</v>
      </c>
      <c r="B45" s="694" t="s">
        <v>610</v>
      </c>
      <c r="C45" s="543">
        <v>97500</v>
      </c>
      <c r="D45" s="544">
        <v>97500</v>
      </c>
      <c r="E45" s="547">
        <v>78185.06</v>
      </c>
      <c r="F45" s="686">
        <v>92500</v>
      </c>
      <c r="G45" s="544"/>
      <c r="H45" s="548">
        <v>6972.23</v>
      </c>
      <c r="I45" s="548">
        <v>17398.259999999998</v>
      </c>
      <c r="J45" s="548">
        <v>27026.49</v>
      </c>
      <c r="K45" s="548">
        <v>32549.82</v>
      </c>
      <c r="L45" s="548">
        <v>38243.58</v>
      </c>
      <c r="M45" s="548">
        <v>45588.08</v>
      </c>
      <c r="N45" s="548">
        <v>45588.08</v>
      </c>
      <c r="O45" s="548">
        <v>52928.85</v>
      </c>
      <c r="P45" s="548">
        <v>60269.62</v>
      </c>
      <c r="Q45" s="548">
        <v>67827.070000000007</v>
      </c>
      <c r="R45" s="548">
        <v>75046.95</v>
      </c>
      <c r="S45" s="548"/>
      <c r="T45" s="829">
        <v>90530.79</v>
      </c>
      <c r="U45" s="490"/>
      <c r="V45" s="460"/>
    </row>
    <row r="46" spans="1:25" x14ac:dyDescent="0.25">
      <c r="A46" s="687" t="s">
        <v>174</v>
      </c>
      <c r="B46" s="688" t="s">
        <v>907</v>
      </c>
      <c r="C46" s="689">
        <v>23000</v>
      </c>
      <c r="D46" s="686">
        <v>23000</v>
      </c>
      <c r="E46" s="690">
        <v>25732.16</v>
      </c>
      <c r="F46" s="686">
        <v>26000</v>
      </c>
      <c r="G46" s="544"/>
      <c r="H46" s="548">
        <v>1996.27</v>
      </c>
      <c r="I46" s="548">
        <v>3581.53</v>
      </c>
      <c r="J46" s="548">
        <v>7716.58</v>
      </c>
      <c r="K46" s="548">
        <v>9295.18</v>
      </c>
      <c r="L46" s="548">
        <v>9295.18</v>
      </c>
      <c r="M46" s="548">
        <v>12465.24</v>
      </c>
      <c r="N46" s="548">
        <v>12465.24</v>
      </c>
      <c r="O46" s="548">
        <v>14372.59</v>
      </c>
      <c r="P46" s="548">
        <v>16278.49</v>
      </c>
      <c r="Q46" s="548">
        <v>18184.39</v>
      </c>
      <c r="R46" s="548">
        <v>19873.61</v>
      </c>
      <c r="S46" s="556"/>
      <c r="T46" s="829">
        <v>20905.61</v>
      </c>
    </row>
    <row r="47" spans="1:25" x14ac:dyDescent="0.25">
      <c r="A47" s="687" t="s">
        <v>908</v>
      </c>
      <c r="B47" s="688" t="s">
        <v>613</v>
      </c>
      <c r="C47" s="689">
        <v>68500</v>
      </c>
      <c r="D47" s="686">
        <v>68500</v>
      </c>
      <c r="E47" s="690">
        <v>67516.55</v>
      </c>
      <c r="F47" s="686">
        <v>73000</v>
      </c>
      <c r="G47" s="544"/>
      <c r="H47" s="548">
        <v>4194.84</v>
      </c>
      <c r="I47" s="548">
        <v>12185.26</v>
      </c>
      <c r="J47" s="548">
        <v>17962.810000000001</v>
      </c>
      <c r="K47" s="548">
        <v>22065.68</v>
      </c>
      <c r="L47" s="548">
        <v>26270.98</v>
      </c>
      <c r="M47" s="548">
        <v>26270.98</v>
      </c>
      <c r="N47" s="548">
        <v>30476.28</v>
      </c>
      <c r="O47" s="548">
        <v>36874.9</v>
      </c>
      <c r="P47" s="548">
        <v>42042.84</v>
      </c>
      <c r="Q47" s="548">
        <v>47303.58</v>
      </c>
      <c r="R47" s="548">
        <v>52564.32</v>
      </c>
      <c r="S47" s="548"/>
      <c r="T47" s="829">
        <v>63085.8</v>
      </c>
    </row>
    <row r="48" spans="1:25" x14ac:dyDescent="0.25">
      <c r="A48" s="687" t="s">
        <v>180</v>
      </c>
      <c r="B48" s="688" t="s">
        <v>909</v>
      </c>
      <c r="C48" s="689">
        <v>13000</v>
      </c>
      <c r="D48" s="686">
        <v>13000</v>
      </c>
      <c r="E48" s="690">
        <v>12548.37</v>
      </c>
      <c r="F48" s="686">
        <v>14500</v>
      </c>
      <c r="G48" s="544"/>
      <c r="H48" s="548">
        <v>1005.11</v>
      </c>
      <c r="I48" s="548">
        <v>2741.92</v>
      </c>
      <c r="J48" s="548">
        <v>3797.69</v>
      </c>
      <c r="K48" s="548">
        <v>4560.5200000000004</v>
      </c>
      <c r="L48" s="548">
        <v>5342.03</v>
      </c>
      <c r="M48" s="548">
        <v>6330.49</v>
      </c>
      <c r="N48" s="548">
        <v>6330.49</v>
      </c>
      <c r="O48" s="548">
        <v>7318.95</v>
      </c>
      <c r="P48" s="548">
        <v>8307.41</v>
      </c>
      <c r="Q48" s="548">
        <v>9295.8700000000008</v>
      </c>
      <c r="R48" s="548">
        <v>10284.33</v>
      </c>
      <c r="S48" s="548"/>
      <c r="T48" s="829">
        <v>12261.25</v>
      </c>
    </row>
    <row r="49" spans="1:23" x14ac:dyDescent="0.25">
      <c r="A49" s="687" t="s">
        <v>910</v>
      </c>
      <c r="B49" s="688" t="s">
        <v>911</v>
      </c>
      <c r="C49" s="543">
        <v>400</v>
      </c>
      <c r="D49" s="544">
        <v>400</v>
      </c>
      <c r="E49" s="547">
        <v>0</v>
      </c>
      <c r="F49" s="686">
        <v>200</v>
      </c>
      <c r="G49" s="544"/>
      <c r="H49" s="548">
        <v>0</v>
      </c>
      <c r="I49" s="548">
        <v>0</v>
      </c>
      <c r="J49" s="548">
        <v>0</v>
      </c>
      <c r="K49" s="548">
        <v>0</v>
      </c>
      <c r="L49" s="548">
        <v>0</v>
      </c>
      <c r="M49" s="548">
        <v>0</v>
      </c>
      <c r="N49" s="548">
        <v>0</v>
      </c>
      <c r="O49" s="548">
        <v>0</v>
      </c>
      <c r="P49" s="548">
        <v>0</v>
      </c>
      <c r="Q49" s="548">
        <v>0</v>
      </c>
      <c r="R49" s="548">
        <v>0</v>
      </c>
      <c r="S49" s="548"/>
      <c r="T49" s="829">
        <v>0</v>
      </c>
      <c r="U49" s="435" t="s">
        <v>1367</v>
      </c>
      <c r="W49" s="620">
        <f>F49+F91+F92+F93</f>
        <v>600</v>
      </c>
    </row>
    <row r="50" spans="1:23" x14ac:dyDescent="0.25">
      <c r="A50" s="687" t="s">
        <v>183</v>
      </c>
      <c r="B50" s="688" t="s">
        <v>184</v>
      </c>
      <c r="C50" s="689">
        <v>600</v>
      </c>
      <c r="D50" s="686">
        <v>600</v>
      </c>
      <c r="E50" s="690">
        <v>473.67</v>
      </c>
      <c r="F50" s="686">
        <v>500</v>
      </c>
      <c r="G50" s="544"/>
      <c r="H50" s="548">
        <v>0</v>
      </c>
      <c r="I50" s="548">
        <v>0</v>
      </c>
      <c r="J50" s="548">
        <v>0</v>
      </c>
      <c r="K50" s="548">
        <v>0</v>
      </c>
      <c r="L50" s="548">
        <v>0</v>
      </c>
      <c r="M50" s="548">
        <v>0</v>
      </c>
      <c r="N50" s="548">
        <v>0</v>
      </c>
      <c r="O50" s="548">
        <v>0</v>
      </c>
      <c r="P50" s="548">
        <v>457.09</v>
      </c>
      <c r="Q50" s="548">
        <v>457.09</v>
      </c>
      <c r="R50" s="548">
        <v>457.09</v>
      </c>
      <c r="S50" s="548"/>
      <c r="T50" s="829">
        <v>457.09</v>
      </c>
    </row>
    <row r="51" spans="1:23" s="467" customFormat="1" x14ac:dyDescent="0.25">
      <c r="A51" s="549" t="s">
        <v>912</v>
      </c>
      <c r="B51" s="550" t="s">
        <v>913</v>
      </c>
      <c r="C51" s="551"/>
      <c r="D51" s="552"/>
      <c r="E51" s="557"/>
      <c r="F51" s="552"/>
      <c r="G51" s="552"/>
      <c r="H51" s="558"/>
      <c r="I51" s="558"/>
      <c r="J51" s="558"/>
      <c r="K51" s="558"/>
      <c r="L51" s="558"/>
      <c r="M51" s="558"/>
      <c r="N51" s="558"/>
      <c r="O51" s="558"/>
      <c r="P51" s="559"/>
      <c r="Q51" s="559"/>
      <c r="R51" s="559"/>
      <c r="S51" s="559"/>
      <c r="T51" s="831"/>
      <c r="U51" s="466"/>
      <c r="V51" s="460"/>
    </row>
    <row r="52" spans="1:23" x14ac:dyDescent="0.25">
      <c r="A52" s="687" t="s">
        <v>914</v>
      </c>
      <c r="B52" s="688" t="s">
        <v>915</v>
      </c>
      <c r="C52" s="543">
        <v>5400</v>
      </c>
      <c r="D52" s="544">
        <v>5400</v>
      </c>
      <c r="E52" s="547">
        <v>0</v>
      </c>
      <c r="F52" s="686">
        <v>0</v>
      </c>
      <c r="G52" s="544"/>
      <c r="H52" s="546">
        <v>0</v>
      </c>
      <c r="I52" s="546">
        <v>0</v>
      </c>
      <c r="J52" s="546">
        <v>0</v>
      </c>
      <c r="K52" s="546">
        <v>0</v>
      </c>
      <c r="L52" s="546">
        <v>0</v>
      </c>
      <c r="M52" s="546">
        <v>0</v>
      </c>
      <c r="N52" s="546">
        <v>0</v>
      </c>
      <c r="O52" s="546">
        <v>0</v>
      </c>
      <c r="P52" s="548">
        <v>0</v>
      </c>
      <c r="Q52" s="548">
        <v>0</v>
      </c>
      <c r="R52" s="548">
        <v>0</v>
      </c>
      <c r="S52" s="548"/>
      <c r="T52" s="829">
        <v>0</v>
      </c>
    </row>
    <row r="53" spans="1:23" x14ac:dyDescent="0.25">
      <c r="A53" s="687" t="s">
        <v>916</v>
      </c>
      <c r="B53" s="688" t="s">
        <v>161</v>
      </c>
      <c r="C53" s="689">
        <v>2160</v>
      </c>
      <c r="D53" s="686">
        <v>2160</v>
      </c>
      <c r="E53" s="690">
        <v>0</v>
      </c>
      <c r="F53" s="686">
        <v>0</v>
      </c>
      <c r="G53" s="544"/>
      <c r="H53" s="546">
        <v>0</v>
      </c>
      <c r="I53" s="546">
        <v>0</v>
      </c>
      <c r="J53" s="546">
        <v>0</v>
      </c>
      <c r="K53" s="546">
        <v>0</v>
      </c>
      <c r="L53" s="546">
        <v>0</v>
      </c>
      <c r="M53" s="546">
        <v>0</v>
      </c>
      <c r="N53" s="546">
        <v>0</v>
      </c>
      <c r="O53" s="546">
        <v>0</v>
      </c>
      <c r="P53" s="548">
        <v>0</v>
      </c>
      <c r="Q53" s="548">
        <v>0</v>
      </c>
      <c r="R53" s="548">
        <v>0</v>
      </c>
      <c r="S53" s="548"/>
      <c r="T53" s="829">
        <v>0</v>
      </c>
    </row>
    <row r="54" spans="1:23" x14ac:dyDescent="0.25">
      <c r="A54" s="560" t="s">
        <v>168</v>
      </c>
      <c r="B54" s="561" t="s">
        <v>917</v>
      </c>
      <c r="C54" s="551">
        <v>1500</v>
      </c>
      <c r="D54" s="552">
        <v>1500</v>
      </c>
      <c r="E54" s="553">
        <v>0</v>
      </c>
      <c r="F54" s="552">
        <v>0</v>
      </c>
      <c r="G54" s="552"/>
      <c r="H54" s="554">
        <v>0</v>
      </c>
      <c r="I54" s="554">
        <v>0</v>
      </c>
      <c r="J54" s="554">
        <v>0</v>
      </c>
      <c r="K54" s="554">
        <v>0</v>
      </c>
      <c r="L54" s="554">
        <v>0</v>
      </c>
      <c r="M54" s="554">
        <v>0</v>
      </c>
      <c r="N54" s="554">
        <v>0</v>
      </c>
      <c r="O54" s="554">
        <v>0</v>
      </c>
      <c r="P54" s="555">
        <v>0</v>
      </c>
      <c r="Q54" s="555">
        <v>0</v>
      </c>
      <c r="R54" s="555">
        <v>0</v>
      </c>
      <c r="S54" s="555"/>
      <c r="T54" s="830">
        <v>0</v>
      </c>
    </row>
    <row r="55" spans="1:23" x14ac:dyDescent="0.25">
      <c r="A55" s="562"/>
      <c r="B55" s="563" t="s">
        <v>918</v>
      </c>
      <c r="C55" s="537">
        <f t="shared" ref="C55:S55" si="6">SUM(C32:C54)</f>
        <v>389224.27</v>
      </c>
      <c r="D55" s="538">
        <f t="shared" si="6"/>
        <v>389224.27</v>
      </c>
      <c r="E55" s="564">
        <f t="shared" si="6"/>
        <v>344036.41</v>
      </c>
      <c r="F55" s="538">
        <f>SUM(F32:F54)</f>
        <v>383385</v>
      </c>
      <c r="G55" s="538">
        <f t="shared" si="6"/>
        <v>0</v>
      </c>
      <c r="H55" s="565">
        <f t="shared" si="6"/>
        <v>26819.550000000003</v>
      </c>
      <c r="I55" s="565">
        <f t="shared" si="6"/>
        <v>61683.57</v>
      </c>
      <c r="J55" s="565">
        <f t="shared" si="6"/>
        <v>96219.27</v>
      </c>
      <c r="K55" s="565">
        <f t="shared" si="6"/>
        <v>121898.80999999998</v>
      </c>
      <c r="L55" s="565">
        <f t="shared" si="6"/>
        <v>147303.89000000001</v>
      </c>
      <c r="M55" s="565">
        <f t="shared" si="6"/>
        <v>169251.11000000002</v>
      </c>
      <c r="N55" s="565">
        <f t="shared" si="6"/>
        <v>178511.91999999998</v>
      </c>
      <c r="O55" s="565">
        <f t="shared" si="6"/>
        <v>208506.63</v>
      </c>
      <c r="P55" s="565">
        <f t="shared" si="6"/>
        <v>237747.81</v>
      </c>
      <c r="Q55" s="565">
        <f t="shared" si="6"/>
        <v>267834.87000000005</v>
      </c>
      <c r="R55" s="565">
        <f t="shared" si="6"/>
        <v>295517.68000000005</v>
      </c>
      <c r="S55" s="565">
        <f t="shared" si="6"/>
        <v>0</v>
      </c>
      <c r="T55" s="832">
        <f t="shared" ref="T55" si="7">SUM(T32:T54)</f>
        <v>349490.94</v>
      </c>
    </row>
    <row r="56" spans="1:23" s="467" customFormat="1" x14ac:dyDescent="0.25">
      <c r="A56" s="549" t="s">
        <v>919</v>
      </c>
      <c r="B56" s="561" t="s">
        <v>920</v>
      </c>
      <c r="C56" s="551"/>
      <c r="D56" s="552"/>
      <c r="E56" s="566"/>
      <c r="F56" s="552"/>
      <c r="G56" s="552"/>
      <c r="H56" s="558"/>
      <c r="I56" s="558"/>
      <c r="J56" s="558"/>
      <c r="K56" s="558"/>
      <c r="L56" s="558"/>
      <c r="M56" s="558"/>
      <c r="N56" s="558"/>
      <c r="O56" s="558"/>
      <c r="P56" s="558"/>
      <c r="Q56" s="558"/>
      <c r="R56" s="558"/>
      <c r="S56" s="558"/>
      <c r="T56" s="833"/>
      <c r="U56" s="697" t="s">
        <v>202</v>
      </c>
      <c r="V56" s="460"/>
      <c r="W56" s="698">
        <f>F59+F61+F79+F80</f>
        <v>1610</v>
      </c>
    </row>
    <row r="57" spans="1:23" x14ac:dyDescent="0.25">
      <c r="A57" s="687" t="s">
        <v>201</v>
      </c>
      <c r="B57" s="688" t="s">
        <v>921</v>
      </c>
      <c r="C57" s="689">
        <v>1500</v>
      </c>
      <c r="D57" s="686">
        <v>1500</v>
      </c>
      <c r="E57" s="690">
        <v>156.78</v>
      </c>
      <c r="F57" s="686">
        <v>300</v>
      </c>
      <c r="G57" s="544"/>
      <c r="H57" s="546">
        <v>0</v>
      </c>
      <c r="I57" s="546">
        <v>59.68</v>
      </c>
      <c r="J57" s="548">
        <v>59.68</v>
      </c>
      <c r="K57" s="548">
        <v>66.66</v>
      </c>
      <c r="L57" s="548">
        <v>66.66</v>
      </c>
      <c r="M57" s="556">
        <v>311.39</v>
      </c>
      <c r="N57" s="556">
        <v>311.39</v>
      </c>
      <c r="O57" s="548">
        <v>73.260000000000005</v>
      </c>
      <c r="P57" s="548">
        <v>73.260000000000005</v>
      </c>
      <c r="Q57" s="548">
        <v>73.260000000000005</v>
      </c>
      <c r="R57" s="548">
        <v>73.260000000000005</v>
      </c>
      <c r="S57" s="548"/>
      <c r="T57" s="829">
        <v>73.260000000000005</v>
      </c>
      <c r="U57" s="435" t="s">
        <v>1368</v>
      </c>
      <c r="W57" s="620">
        <f>F57+F62</f>
        <v>550</v>
      </c>
    </row>
    <row r="58" spans="1:23" x14ac:dyDescent="0.25">
      <c r="A58" s="687" t="s">
        <v>210</v>
      </c>
      <c r="B58" s="688" t="s">
        <v>922</v>
      </c>
      <c r="C58" s="689">
        <v>600</v>
      </c>
      <c r="D58" s="686">
        <v>600</v>
      </c>
      <c r="E58" s="690">
        <v>598.79999999999995</v>
      </c>
      <c r="F58" s="686">
        <v>600</v>
      </c>
      <c r="G58" s="544"/>
      <c r="H58" s="546">
        <v>49.9</v>
      </c>
      <c r="I58" s="546">
        <v>99.8</v>
      </c>
      <c r="J58" s="548">
        <v>149.69999999999999</v>
      </c>
      <c r="K58" s="548">
        <v>211.3</v>
      </c>
      <c r="L58" s="548">
        <v>261.2</v>
      </c>
      <c r="M58" s="548">
        <v>261.2</v>
      </c>
      <c r="N58" s="548">
        <v>311.10000000000002</v>
      </c>
      <c r="O58" s="556">
        <v>817.01</v>
      </c>
      <c r="P58" s="556">
        <v>1122.75</v>
      </c>
      <c r="Q58" s="556">
        <v>1457.93</v>
      </c>
      <c r="R58" s="556">
        <v>1815.96</v>
      </c>
      <c r="S58" s="548"/>
      <c r="T58" s="828">
        <v>1915.76</v>
      </c>
    </row>
    <row r="59" spans="1:23" x14ac:dyDescent="0.25">
      <c r="A59" s="687" t="s">
        <v>923</v>
      </c>
      <c r="B59" s="688" t="s">
        <v>924</v>
      </c>
      <c r="C59" s="689">
        <v>75</v>
      </c>
      <c r="D59" s="686">
        <v>75</v>
      </c>
      <c r="E59" s="690">
        <v>69.959999999999994</v>
      </c>
      <c r="F59" s="686">
        <v>75</v>
      </c>
      <c r="G59" s="544"/>
      <c r="H59" s="546">
        <v>0</v>
      </c>
      <c r="I59" s="546">
        <v>18.940000000000001</v>
      </c>
      <c r="J59" s="548">
        <v>18.940000000000001</v>
      </c>
      <c r="K59" s="548">
        <v>18.940000000000001</v>
      </c>
      <c r="L59" s="548">
        <v>37.299999999999997</v>
      </c>
      <c r="M59" s="548">
        <v>37.299999999999997</v>
      </c>
      <c r="N59" s="548">
        <v>37.299999999999997</v>
      </c>
      <c r="O59" s="548">
        <v>37.299999999999997</v>
      </c>
      <c r="P59" s="548">
        <v>55.66</v>
      </c>
      <c r="Q59" s="548">
        <v>55.66</v>
      </c>
      <c r="R59" s="548">
        <v>55.66</v>
      </c>
      <c r="S59" s="548"/>
      <c r="T59" s="829">
        <v>74.02</v>
      </c>
    </row>
    <row r="60" spans="1:23" x14ac:dyDescent="0.25">
      <c r="A60" s="687" t="s">
        <v>925</v>
      </c>
      <c r="B60" s="688" t="s">
        <v>926</v>
      </c>
      <c r="C60" s="689">
        <v>300</v>
      </c>
      <c r="D60" s="686">
        <v>300</v>
      </c>
      <c r="E60" s="690">
        <v>0</v>
      </c>
      <c r="F60" s="686">
        <v>0</v>
      </c>
      <c r="G60" s="544"/>
      <c r="H60" s="546">
        <v>0</v>
      </c>
      <c r="I60" s="546">
        <v>0</v>
      </c>
      <c r="J60" s="548">
        <v>0</v>
      </c>
      <c r="K60" s="548">
        <v>0</v>
      </c>
      <c r="L60" s="548">
        <v>0</v>
      </c>
      <c r="M60" s="548">
        <v>0</v>
      </c>
      <c r="N60" s="548">
        <v>0</v>
      </c>
      <c r="O60" s="548">
        <v>0</v>
      </c>
      <c r="P60" s="548">
        <v>0</v>
      </c>
      <c r="Q60" s="548">
        <v>0</v>
      </c>
      <c r="R60" s="548">
        <v>0</v>
      </c>
      <c r="S60" s="548"/>
      <c r="T60" s="829">
        <v>0</v>
      </c>
    </row>
    <row r="61" spans="1:23" x14ac:dyDescent="0.25">
      <c r="A61" s="687" t="s">
        <v>927</v>
      </c>
      <c r="B61" s="688" t="s">
        <v>928</v>
      </c>
      <c r="C61" s="689">
        <v>1000</v>
      </c>
      <c r="D61" s="686">
        <v>1000</v>
      </c>
      <c r="E61" s="695">
        <v>1075.75</v>
      </c>
      <c r="F61" s="686">
        <v>1000</v>
      </c>
      <c r="G61" s="544"/>
      <c r="H61" s="546">
        <v>0</v>
      </c>
      <c r="I61" s="546">
        <v>0</v>
      </c>
      <c r="J61" s="548">
        <v>39</v>
      </c>
      <c r="K61" s="548">
        <v>46</v>
      </c>
      <c r="L61" s="548">
        <v>351.1</v>
      </c>
      <c r="M61" s="548">
        <v>351.1</v>
      </c>
      <c r="N61" s="548">
        <v>351.1</v>
      </c>
      <c r="O61" s="548">
        <v>351.1</v>
      </c>
      <c r="P61" s="548">
        <v>351.1</v>
      </c>
      <c r="Q61" s="548">
        <v>351.1</v>
      </c>
      <c r="R61" s="548">
        <v>388.44</v>
      </c>
      <c r="S61" s="556"/>
      <c r="T61" s="829">
        <v>388.44</v>
      </c>
    </row>
    <row r="62" spans="1:23" x14ac:dyDescent="0.25">
      <c r="A62" s="687" t="s">
        <v>929</v>
      </c>
      <c r="B62" s="688" t="s">
        <v>931</v>
      </c>
      <c r="C62" s="689">
        <v>1000</v>
      </c>
      <c r="D62" s="686">
        <v>1000</v>
      </c>
      <c r="E62" s="690">
        <v>166.74</v>
      </c>
      <c r="F62" s="686">
        <v>250</v>
      </c>
      <c r="G62" s="544"/>
      <c r="H62" s="546">
        <v>0</v>
      </c>
      <c r="I62" s="546">
        <v>41.95</v>
      </c>
      <c r="J62" s="548">
        <v>41.95</v>
      </c>
      <c r="K62" s="548">
        <v>110.8</v>
      </c>
      <c r="L62" s="548">
        <v>110.8</v>
      </c>
      <c r="M62" s="548">
        <v>152.75</v>
      </c>
      <c r="N62" s="548">
        <v>152.75</v>
      </c>
      <c r="O62" s="548">
        <v>152.75</v>
      </c>
      <c r="P62" s="548">
        <v>249.58</v>
      </c>
      <c r="Q62" s="548">
        <v>249.58</v>
      </c>
      <c r="R62" s="548">
        <v>249.58</v>
      </c>
      <c r="S62" s="548"/>
      <c r="T62" s="829">
        <v>249.58</v>
      </c>
    </row>
    <row r="63" spans="1:23" x14ac:dyDescent="0.25">
      <c r="A63" s="687" t="s">
        <v>932</v>
      </c>
      <c r="B63" s="688" t="s">
        <v>933</v>
      </c>
      <c r="C63" s="689">
        <v>300</v>
      </c>
      <c r="D63" s="686">
        <v>300</v>
      </c>
      <c r="E63" s="690">
        <v>0</v>
      </c>
      <c r="F63" s="686">
        <v>100</v>
      </c>
      <c r="G63" s="544"/>
      <c r="H63" s="546">
        <v>0</v>
      </c>
      <c r="I63" s="546">
        <v>0</v>
      </c>
      <c r="J63" s="548">
        <v>0</v>
      </c>
      <c r="K63" s="548">
        <v>0</v>
      </c>
      <c r="L63" s="548">
        <v>0</v>
      </c>
      <c r="M63" s="548">
        <v>0</v>
      </c>
      <c r="N63" s="548">
        <v>0</v>
      </c>
      <c r="O63" s="548">
        <v>0</v>
      </c>
      <c r="P63" s="548">
        <v>0</v>
      </c>
      <c r="Q63" s="548">
        <v>0</v>
      </c>
      <c r="R63" s="548">
        <v>0</v>
      </c>
      <c r="S63" s="548"/>
      <c r="T63" s="829">
        <v>0</v>
      </c>
    </row>
    <row r="64" spans="1:23" x14ac:dyDescent="0.25">
      <c r="A64" s="687" t="s">
        <v>207</v>
      </c>
      <c r="B64" s="688" t="s">
        <v>934</v>
      </c>
      <c r="C64" s="689">
        <v>600</v>
      </c>
      <c r="D64" s="686">
        <v>600</v>
      </c>
      <c r="E64" s="690">
        <v>275.14</v>
      </c>
      <c r="F64" s="686">
        <v>350</v>
      </c>
      <c r="G64" s="544"/>
      <c r="H64" s="546">
        <v>74</v>
      </c>
      <c r="I64" s="546">
        <v>74</v>
      </c>
      <c r="J64" s="548">
        <v>74</v>
      </c>
      <c r="K64" s="548">
        <v>85.2</v>
      </c>
      <c r="L64" s="548">
        <v>85.2</v>
      </c>
      <c r="M64" s="548">
        <v>332.2</v>
      </c>
      <c r="N64" s="548">
        <v>332.2</v>
      </c>
      <c r="O64" s="548">
        <v>332.2</v>
      </c>
      <c r="P64" s="548">
        <v>332.2</v>
      </c>
      <c r="Q64" s="548">
        <v>332.2</v>
      </c>
      <c r="R64" s="548">
        <v>332.2</v>
      </c>
      <c r="S64" s="548"/>
      <c r="T64" s="829">
        <v>332.2</v>
      </c>
    </row>
    <row r="65" spans="1:23" s="467" customFormat="1" x14ac:dyDescent="0.25">
      <c r="A65" s="549" t="s">
        <v>935</v>
      </c>
      <c r="B65" s="550" t="s">
        <v>936</v>
      </c>
      <c r="C65" s="551"/>
      <c r="D65" s="552"/>
      <c r="E65" s="553"/>
      <c r="F65" s="552"/>
      <c r="G65" s="552"/>
      <c r="H65" s="558"/>
      <c r="I65" s="558"/>
      <c r="J65" s="559"/>
      <c r="K65" s="559"/>
      <c r="L65" s="559"/>
      <c r="M65" s="559"/>
      <c r="N65" s="559"/>
      <c r="O65" s="559"/>
      <c r="P65" s="559"/>
      <c r="Q65" s="559"/>
      <c r="R65" s="555"/>
      <c r="S65" s="555"/>
      <c r="T65" s="830"/>
      <c r="U65" s="466"/>
      <c r="V65" s="460"/>
    </row>
    <row r="66" spans="1:23" x14ac:dyDescent="0.25">
      <c r="A66" s="687" t="s">
        <v>937</v>
      </c>
      <c r="B66" s="688" t="s">
        <v>938</v>
      </c>
      <c r="C66" s="689">
        <v>300</v>
      </c>
      <c r="D66" s="686">
        <v>300</v>
      </c>
      <c r="E66" s="690">
        <v>281.08</v>
      </c>
      <c r="F66" s="686">
        <v>300</v>
      </c>
      <c r="G66" s="544"/>
      <c r="H66" s="548">
        <v>16.079999999999998</v>
      </c>
      <c r="I66" s="548">
        <v>22.29</v>
      </c>
      <c r="J66" s="548">
        <v>38.49</v>
      </c>
      <c r="K66" s="548">
        <v>52.87</v>
      </c>
      <c r="L66" s="548">
        <v>94.52</v>
      </c>
      <c r="M66" s="548">
        <v>101.82</v>
      </c>
      <c r="N66" s="548">
        <v>101.82</v>
      </c>
      <c r="O66" s="548">
        <v>115.67</v>
      </c>
      <c r="P66" s="548">
        <v>122.63</v>
      </c>
      <c r="Q66" s="548">
        <v>139.04</v>
      </c>
      <c r="R66" s="548">
        <v>149.46</v>
      </c>
      <c r="S66" s="548"/>
      <c r="T66" s="829">
        <v>166.95</v>
      </c>
    </row>
    <row r="67" spans="1:23" x14ac:dyDescent="0.25">
      <c r="A67" s="687" t="s">
        <v>939</v>
      </c>
      <c r="B67" s="688" t="s">
        <v>940</v>
      </c>
      <c r="C67" s="689">
        <v>700</v>
      </c>
      <c r="D67" s="686">
        <v>700</v>
      </c>
      <c r="E67" s="690">
        <v>388.5</v>
      </c>
      <c r="F67" s="686">
        <v>400</v>
      </c>
      <c r="G67" s="544"/>
      <c r="H67" s="548">
        <v>29.74</v>
      </c>
      <c r="I67" s="548">
        <v>59.48</v>
      </c>
      <c r="J67" s="548">
        <v>89.22</v>
      </c>
      <c r="K67" s="548">
        <v>118.96</v>
      </c>
      <c r="L67" s="548">
        <v>148.69999999999999</v>
      </c>
      <c r="M67" s="548">
        <v>196.29</v>
      </c>
      <c r="N67" s="548">
        <v>196.29</v>
      </c>
      <c r="O67" s="548">
        <v>243.88</v>
      </c>
      <c r="P67" s="548">
        <v>291.47000000000003</v>
      </c>
      <c r="Q67" s="548">
        <v>339.06</v>
      </c>
      <c r="R67" s="548">
        <v>386.65</v>
      </c>
      <c r="S67" s="548"/>
      <c r="T67" s="828">
        <v>481.83</v>
      </c>
    </row>
    <row r="68" spans="1:23" x14ac:dyDescent="0.25">
      <c r="A68" s="687" t="s">
        <v>941</v>
      </c>
      <c r="B68" s="688" t="s">
        <v>942</v>
      </c>
      <c r="C68" s="689">
        <v>500</v>
      </c>
      <c r="D68" s="686">
        <v>500</v>
      </c>
      <c r="E68" s="690">
        <v>492.38</v>
      </c>
      <c r="F68" s="686">
        <v>500</v>
      </c>
      <c r="G68" s="544"/>
      <c r="H68" s="548">
        <v>80.72</v>
      </c>
      <c r="I68" s="548">
        <v>121.54</v>
      </c>
      <c r="J68" s="548">
        <v>150.47999999999999</v>
      </c>
      <c r="K68" s="548">
        <v>231.2</v>
      </c>
      <c r="L68" s="548">
        <v>260.14</v>
      </c>
      <c r="M68" s="548">
        <v>323.99</v>
      </c>
      <c r="N68" s="548">
        <v>345.8</v>
      </c>
      <c r="O68" s="548">
        <v>426.52</v>
      </c>
      <c r="P68" s="548">
        <v>455.46</v>
      </c>
      <c r="Q68" s="548">
        <v>499.28</v>
      </c>
      <c r="R68" s="556">
        <v>550.64</v>
      </c>
      <c r="S68" s="548"/>
      <c r="T68" s="828">
        <v>711.24</v>
      </c>
    </row>
    <row r="69" spans="1:23" x14ac:dyDescent="0.25">
      <c r="A69" s="687" t="s">
        <v>216</v>
      </c>
      <c r="B69" s="688" t="s">
        <v>943</v>
      </c>
      <c r="C69" s="689">
        <v>5000</v>
      </c>
      <c r="D69" s="686">
        <v>5000</v>
      </c>
      <c r="E69" s="695">
        <v>5031.4399999999996</v>
      </c>
      <c r="F69" s="686">
        <v>3500</v>
      </c>
      <c r="G69" s="544"/>
      <c r="H69" s="548">
        <v>74.78</v>
      </c>
      <c r="I69" s="548">
        <v>300.07</v>
      </c>
      <c r="J69" s="548">
        <v>525.36</v>
      </c>
      <c r="K69" s="548">
        <v>750.65</v>
      </c>
      <c r="L69" s="548">
        <v>975.94</v>
      </c>
      <c r="M69" s="548">
        <v>1201.23</v>
      </c>
      <c r="N69" s="548">
        <v>1201.23</v>
      </c>
      <c r="O69" s="548">
        <v>1426.52</v>
      </c>
      <c r="P69" s="548">
        <v>1651.81</v>
      </c>
      <c r="Q69" s="548">
        <v>1877.1</v>
      </c>
      <c r="R69" s="548">
        <v>2102.39</v>
      </c>
      <c r="S69" s="548"/>
      <c r="T69" s="829">
        <v>2552.9699999999998</v>
      </c>
    </row>
    <row r="70" spans="1:23" s="467" customFormat="1" x14ac:dyDescent="0.25">
      <c r="A70" s="549" t="s">
        <v>944</v>
      </c>
      <c r="B70" s="550" t="s">
        <v>945</v>
      </c>
      <c r="C70" s="551"/>
      <c r="D70" s="552"/>
      <c r="E70" s="553"/>
      <c r="F70" s="552"/>
      <c r="G70" s="552"/>
      <c r="H70" s="558"/>
      <c r="I70" s="558"/>
      <c r="J70" s="559"/>
      <c r="K70" s="559"/>
      <c r="L70" s="559"/>
      <c r="M70" s="559"/>
      <c r="N70" s="559"/>
      <c r="O70" s="559"/>
      <c r="P70" s="559"/>
      <c r="Q70" s="559"/>
      <c r="R70" s="555"/>
      <c r="S70" s="555"/>
      <c r="T70" s="830"/>
      <c r="U70" s="466"/>
      <c r="V70" s="460"/>
    </row>
    <row r="71" spans="1:23" x14ac:dyDescent="0.25">
      <c r="A71" s="687" t="s">
        <v>230</v>
      </c>
      <c r="B71" s="688" t="s">
        <v>946</v>
      </c>
      <c r="C71" s="689">
        <v>20000</v>
      </c>
      <c r="D71" s="686">
        <v>20000</v>
      </c>
      <c r="E71" s="690">
        <v>19341.61</v>
      </c>
      <c r="F71" s="686">
        <v>500</v>
      </c>
      <c r="G71" s="544"/>
      <c r="H71" s="546">
        <v>66.94</v>
      </c>
      <c r="I71" s="546">
        <v>66.94</v>
      </c>
      <c r="J71" s="548">
        <v>66.94</v>
      </c>
      <c r="K71" s="548">
        <v>66.94</v>
      </c>
      <c r="L71" s="556">
        <v>566.38</v>
      </c>
      <c r="M71" s="556">
        <v>566.38</v>
      </c>
      <c r="N71" s="556">
        <v>566.38</v>
      </c>
      <c r="O71" s="556">
        <v>848.29</v>
      </c>
      <c r="P71" s="556">
        <v>1095.5899999999999</v>
      </c>
      <c r="Q71" s="556">
        <v>1095.5899999999999</v>
      </c>
      <c r="R71" s="556">
        <v>1095.5899999999999</v>
      </c>
      <c r="S71" s="548"/>
      <c r="T71" s="829">
        <v>2053.25</v>
      </c>
    </row>
    <row r="72" spans="1:23" x14ac:dyDescent="0.25">
      <c r="A72" s="687" t="s">
        <v>947</v>
      </c>
      <c r="B72" s="688" t="s">
        <v>948</v>
      </c>
      <c r="C72" s="689">
        <v>2000</v>
      </c>
      <c r="D72" s="686">
        <v>2000</v>
      </c>
      <c r="E72" s="690">
        <v>51.85</v>
      </c>
      <c r="F72" s="686">
        <v>500</v>
      </c>
      <c r="G72" s="544"/>
      <c r="H72" s="546">
        <v>0</v>
      </c>
      <c r="I72" s="546">
        <v>0</v>
      </c>
      <c r="J72" s="548">
        <v>0</v>
      </c>
      <c r="K72" s="548">
        <v>0</v>
      </c>
      <c r="L72" s="548">
        <v>0</v>
      </c>
      <c r="M72" s="548">
        <v>0</v>
      </c>
      <c r="N72" s="548">
        <v>0</v>
      </c>
      <c r="O72" s="548">
        <v>0</v>
      </c>
      <c r="P72" s="548">
        <v>0</v>
      </c>
      <c r="Q72" s="548">
        <v>0</v>
      </c>
      <c r="R72" s="548">
        <v>0</v>
      </c>
      <c r="S72" s="548"/>
      <c r="T72" s="829">
        <v>0</v>
      </c>
    </row>
    <row r="73" spans="1:23" x14ac:dyDescent="0.25">
      <c r="A73" s="687" t="s">
        <v>949</v>
      </c>
      <c r="B73" s="688" t="s">
        <v>950</v>
      </c>
      <c r="C73" s="689">
        <v>1000</v>
      </c>
      <c r="D73" s="686">
        <v>1000</v>
      </c>
      <c r="E73" s="690">
        <v>554.65</v>
      </c>
      <c r="F73" s="686">
        <v>200</v>
      </c>
      <c r="G73" s="544"/>
      <c r="H73" s="546">
        <v>0</v>
      </c>
      <c r="I73" s="546">
        <v>0</v>
      </c>
      <c r="J73" s="548">
        <v>0</v>
      </c>
      <c r="K73" s="548">
        <v>0</v>
      </c>
      <c r="L73" s="548">
        <v>0</v>
      </c>
      <c r="M73" s="548">
        <v>0</v>
      </c>
      <c r="N73" s="548">
        <v>0</v>
      </c>
      <c r="O73" s="548">
        <v>0</v>
      </c>
      <c r="P73" s="548">
        <v>0</v>
      </c>
      <c r="Q73" s="548">
        <v>0</v>
      </c>
      <c r="R73" s="548">
        <v>0</v>
      </c>
      <c r="S73" s="548"/>
      <c r="T73" s="829">
        <v>0</v>
      </c>
    </row>
    <row r="74" spans="1:23" s="467" customFormat="1" x14ac:dyDescent="0.25">
      <c r="A74" s="549" t="s">
        <v>951</v>
      </c>
      <c r="B74" s="550" t="s">
        <v>952</v>
      </c>
      <c r="C74" s="551"/>
      <c r="D74" s="552"/>
      <c r="E74" s="553"/>
      <c r="F74" s="552"/>
      <c r="G74" s="552"/>
      <c r="H74" s="558"/>
      <c r="I74" s="558"/>
      <c r="J74" s="559"/>
      <c r="K74" s="559"/>
      <c r="L74" s="559"/>
      <c r="M74" s="559"/>
      <c r="N74" s="559"/>
      <c r="O74" s="559"/>
      <c r="P74" s="559"/>
      <c r="Q74" s="559"/>
      <c r="R74" s="555"/>
      <c r="S74" s="555"/>
      <c r="T74" s="830"/>
      <c r="U74" s="466"/>
      <c r="V74" s="460"/>
    </row>
    <row r="75" spans="1:23" x14ac:dyDescent="0.25">
      <c r="A75" s="687" t="s">
        <v>953</v>
      </c>
      <c r="B75" s="688" t="s">
        <v>954</v>
      </c>
      <c r="C75" s="689">
        <v>12000</v>
      </c>
      <c r="D75" s="686">
        <v>12000</v>
      </c>
      <c r="E75" s="695">
        <v>24638.14</v>
      </c>
      <c r="F75" s="686">
        <v>14000</v>
      </c>
      <c r="G75" s="544"/>
      <c r="H75" s="548">
        <v>918.81</v>
      </c>
      <c r="I75" s="548">
        <v>1868.56</v>
      </c>
      <c r="J75" s="548">
        <v>3096.77</v>
      </c>
      <c r="K75" s="548">
        <v>4015.58</v>
      </c>
      <c r="L75" s="548">
        <v>5058.1499999999996</v>
      </c>
      <c r="M75" s="548">
        <v>6159.63</v>
      </c>
      <c r="N75" s="548">
        <v>6159.63</v>
      </c>
      <c r="O75" s="548">
        <v>7780.54</v>
      </c>
      <c r="P75" s="548">
        <v>9061.11</v>
      </c>
      <c r="Q75" s="548">
        <v>10032.280000000001</v>
      </c>
      <c r="R75" s="548">
        <v>11371.76</v>
      </c>
      <c r="S75" s="556"/>
      <c r="T75" s="828">
        <v>14427.94</v>
      </c>
      <c r="U75" s="435">
        <f>F75*0.4+F68</f>
        <v>6100</v>
      </c>
      <c r="V75" s="691">
        <f>F75*0.6</f>
        <v>8400</v>
      </c>
      <c r="W75" s="435">
        <f>SUM(U75:V75)</f>
        <v>14500</v>
      </c>
    </row>
    <row r="76" spans="1:23" x14ac:dyDescent="0.25">
      <c r="A76" s="687" t="s">
        <v>233</v>
      </c>
      <c r="B76" s="688" t="s">
        <v>955</v>
      </c>
      <c r="C76" s="689">
        <v>600</v>
      </c>
      <c r="D76" s="686">
        <v>600</v>
      </c>
      <c r="E76" s="690">
        <v>166.74</v>
      </c>
      <c r="F76" s="686">
        <v>500</v>
      </c>
      <c r="G76" s="544"/>
      <c r="H76" s="548">
        <v>0</v>
      </c>
      <c r="I76" s="548">
        <v>41.95</v>
      </c>
      <c r="J76" s="548">
        <v>41.95</v>
      </c>
      <c r="K76" s="548">
        <v>41.95</v>
      </c>
      <c r="L76" s="548">
        <v>41.95</v>
      </c>
      <c r="M76" s="548">
        <v>83.9</v>
      </c>
      <c r="N76" s="548">
        <v>83.9</v>
      </c>
      <c r="O76" s="548">
        <v>83.9</v>
      </c>
      <c r="P76" s="548">
        <v>125.85</v>
      </c>
      <c r="Q76" s="548">
        <v>125.85</v>
      </c>
      <c r="R76" s="548">
        <v>125.85</v>
      </c>
      <c r="S76" s="548"/>
      <c r="T76" s="829">
        <v>125.85</v>
      </c>
    </row>
    <row r="77" spans="1:23" x14ac:dyDescent="0.25">
      <c r="A77" s="687" t="s">
        <v>956</v>
      </c>
      <c r="B77" s="688" t="s">
        <v>957</v>
      </c>
      <c r="C77" s="689">
        <v>2000</v>
      </c>
      <c r="D77" s="686">
        <v>2000</v>
      </c>
      <c r="E77" s="690">
        <v>402.72</v>
      </c>
      <c r="F77" s="686">
        <v>500</v>
      </c>
      <c r="G77" s="544"/>
      <c r="H77" s="548">
        <v>0</v>
      </c>
      <c r="I77" s="548">
        <v>0</v>
      </c>
      <c r="J77" s="548">
        <v>0</v>
      </c>
      <c r="K77" s="548">
        <v>33.82</v>
      </c>
      <c r="L77" s="548">
        <v>33.82</v>
      </c>
      <c r="M77" s="548">
        <v>120.12</v>
      </c>
      <c r="N77" s="548">
        <v>120.12</v>
      </c>
      <c r="O77" s="548">
        <v>143.80000000000001</v>
      </c>
      <c r="P77" s="548">
        <v>143.80000000000001</v>
      </c>
      <c r="Q77" s="548">
        <v>143.80000000000001</v>
      </c>
      <c r="R77" s="548">
        <v>143.80000000000001</v>
      </c>
      <c r="S77" s="548"/>
      <c r="T77" s="829">
        <v>207.16</v>
      </c>
    </row>
    <row r="78" spans="1:23" s="467" customFormat="1" x14ac:dyDescent="0.25">
      <c r="A78" s="549" t="s">
        <v>958</v>
      </c>
      <c r="B78" s="550" t="s">
        <v>959</v>
      </c>
      <c r="C78" s="551"/>
      <c r="D78" s="552"/>
      <c r="E78" s="553"/>
      <c r="F78" s="552"/>
      <c r="G78" s="552"/>
      <c r="H78" s="558"/>
      <c r="I78" s="558"/>
      <c r="J78" s="559"/>
      <c r="K78" s="559"/>
      <c r="L78" s="559"/>
      <c r="M78" s="559"/>
      <c r="N78" s="559"/>
      <c r="O78" s="559"/>
      <c r="P78" s="559"/>
      <c r="Q78" s="559"/>
      <c r="R78" s="555"/>
      <c r="S78" s="555"/>
      <c r="T78" s="830"/>
      <c r="U78" s="466"/>
      <c r="V78" s="460"/>
    </row>
    <row r="79" spans="1:23" x14ac:dyDescent="0.25">
      <c r="A79" s="687" t="s">
        <v>960</v>
      </c>
      <c r="B79" s="688" t="s">
        <v>961</v>
      </c>
      <c r="C79" s="689">
        <v>490.89</v>
      </c>
      <c r="D79" s="686">
        <v>490.89</v>
      </c>
      <c r="E79" s="690">
        <v>490.89</v>
      </c>
      <c r="F79" s="686">
        <v>500</v>
      </c>
      <c r="G79" s="544"/>
      <c r="H79" s="546">
        <v>0</v>
      </c>
      <c r="I79" s="546">
        <v>0</v>
      </c>
      <c r="J79" s="548">
        <v>490.89</v>
      </c>
      <c r="K79" s="548">
        <v>490.89</v>
      </c>
      <c r="L79" s="548">
        <v>490.89</v>
      </c>
      <c r="M79" s="548">
        <v>490.89</v>
      </c>
      <c r="N79" s="548">
        <v>490.89</v>
      </c>
      <c r="O79" s="548">
        <v>490.89</v>
      </c>
      <c r="P79" s="548">
        <v>490.89</v>
      </c>
      <c r="Q79" s="548">
        <v>490.89</v>
      </c>
      <c r="R79" s="548">
        <v>490.89</v>
      </c>
      <c r="S79" s="548"/>
      <c r="T79" s="829">
        <v>490.89</v>
      </c>
    </row>
    <row r="80" spans="1:23" x14ac:dyDescent="0.25">
      <c r="A80" s="687" t="s">
        <v>962</v>
      </c>
      <c r="B80" s="688" t="s">
        <v>963</v>
      </c>
      <c r="C80" s="689">
        <v>32.47</v>
      </c>
      <c r="D80" s="686">
        <v>32.47</v>
      </c>
      <c r="E80" s="690">
        <v>0</v>
      </c>
      <c r="F80" s="686">
        <v>35</v>
      </c>
      <c r="G80" s="544"/>
      <c r="H80" s="546">
        <v>0</v>
      </c>
      <c r="I80" s="546">
        <v>0</v>
      </c>
      <c r="J80" s="548">
        <v>0</v>
      </c>
      <c r="K80" s="548">
        <v>0</v>
      </c>
      <c r="L80" s="548">
        <v>0</v>
      </c>
      <c r="M80" s="548">
        <v>0</v>
      </c>
      <c r="N80" s="548">
        <v>0</v>
      </c>
      <c r="O80" s="548">
        <v>0</v>
      </c>
      <c r="P80" s="548">
        <v>0</v>
      </c>
      <c r="Q80" s="548">
        <v>0</v>
      </c>
      <c r="R80" s="548">
        <v>0</v>
      </c>
      <c r="S80" s="548"/>
      <c r="T80" s="829">
        <v>0</v>
      </c>
    </row>
    <row r="81" spans="1:24" s="467" customFormat="1" x14ac:dyDescent="0.25">
      <c r="A81" s="549" t="s">
        <v>964</v>
      </c>
      <c r="B81" s="550" t="s">
        <v>965</v>
      </c>
      <c r="C81" s="551"/>
      <c r="D81" s="552"/>
      <c r="E81" s="553"/>
      <c r="F81" s="552"/>
      <c r="G81" s="552"/>
      <c r="H81" s="558"/>
      <c r="I81" s="558"/>
      <c r="J81" s="559"/>
      <c r="K81" s="559"/>
      <c r="L81" s="559"/>
      <c r="M81" s="559"/>
      <c r="N81" s="559"/>
      <c r="O81" s="559"/>
      <c r="P81" s="559"/>
      <c r="Q81" s="559"/>
      <c r="R81" s="555"/>
      <c r="S81" s="555"/>
      <c r="T81" s="830"/>
      <c r="U81" s="466"/>
      <c r="V81" s="460"/>
    </row>
    <row r="82" spans="1:24" s="569" customFormat="1" x14ac:dyDescent="0.25">
      <c r="A82" s="693" t="s">
        <v>188</v>
      </c>
      <c r="B82" s="694" t="s">
        <v>966</v>
      </c>
      <c r="C82" s="689">
        <v>1500</v>
      </c>
      <c r="D82" s="686">
        <v>1500</v>
      </c>
      <c r="E82" s="690">
        <v>0</v>
      </c>
      <c r="F82" s="686">
        <v>1500</v>
      </c>
      <c r="G82" s="544"/>
      <c r="H82" s="567">
        <v>0</v>
      </c>
      <c r="I82" s="567">
        <v>0</v>
      </c>
      <c r="J82" s="548">
        <v>0</v>
      </c>
      <c r="K82" s="548">
        <v>0</v>
      </c>
      <c r="L82" s="548">
        <v>0</v>
      </c>
      <c r="M82" s="548">
        <v>0</v>
      </c>
      <c r="N82" s="548">
        <v>0</v>
      </c>
      <c r="O82" s="548">
        <v>0</v>
      </c>
      <c r="P82" s="548">
        <v>0</v>
      </c>
      <c r="Q82" s="548">
        <v>0</v>
      </c>
      <c r="R82" s="548">
        <v>0</v>
      </c>
      <c r="S82" s="548"/>
      <c r="T82" s="829">
        <v>0</v>
      </c>
      <c r="U82" s="568"/>
      <c r="V82" s="460"/>
    </row>
    <row r="83" spans="1:24" s="569" customFormat="1" x14ac:dyDescent="0.25">
      <c r="A83" s="693" t="s">
        <v>193</v>
      </c>
      <c r="B83" s="694" t="s">
        <v>967</v>
      </c>
      <c r="C83" s="689">
        <v>1500</v>
      </c>
      <c r="D83" s="686">
        <v>1500</v>
      </c>
      <c r="E83" s="690">
        <v>0</v>
      </c>
      <c r="F83" s="686">
        <v>1500</v>
      </c>
      <c r="G83" s="544"/>
      <c r="H83" s="567">
        <v>0</v>
      </c>
      <c r="I83" s="567">
        <v>0</v>
      </c>
      <c r="J83" s="548">
        <v>0</v>
      </c>
      <c r="K83" s="548">
        <v>0</v>
      </c>
      <c r="L83" s="548">
        <v>0</v>
      </c>
      <c r="M83" s="548">
        <v>0</v>
      </c>
      <c r="N83" s="548">
        <v>0</v>
      </c>
      <c r="O83" s="548">
        <v>0</v>
      </c>
      <c r="P83" s="548">
        <v>0</v>
      </c>
      <c r="Q83" s="548">
        <v>0</v>
      </c>
      <c r="R83" s="548">
        <v>0</v>
      </c>
      <c r="S83" s="548"/>
      <c r="T83" s="829">
        <v>0</v>
      </c>
      <c r="U83" s="568"/>
      <c r="V83" s="460"/>
    </row>
    <row r="84" spans="1:24" s="569" customFormat="1" x14ac:dyDescent="0.25">
      <c r="A84" s="693" t="s">
        <v>191</v>
      </c>
      <c r="B84" s="694" t="s">
        <v>968</v>
      </c>
      <c r="C84" s="689">
        <v>1500</v>
      </c>
      <c r="D84" s="686">
        <v>1500</v>
      </c>
      <c r="E84" s="690">
        <v>0</v>
      </c>
      <c r="F84" s="686">
        <v>1000</v>
      </c>
      <c r="G84" s="544"/>
      <c r="H84" s="567">
        <v>0</v>
      </c>
      <c r="I84" s="567">
        <v>0</v>
      </c>
      <c r="J84" s="548">
        <v>0</v>
      </c>
      <c r="K84" s="548">
        <v>0</v>
      </c>
      <c r="L84" s="548">
        <v>149</v>
      </c>
      <c r="M84" s="548">
        <v>199</v>
      </c>
      <c r="N84" s="548">
        <v>199</v>
      </c>
      <c r="O84" s="548">
        <v>199</v>
      </c>
      <c r="P84" s="548">
        <v>199</v>
      </c>
      <c r="Q84" s="548">
        <v>199</v>
      </c>
      <c r="R84" s="548">
        <v>199</v>
      </c>
      <c r="S84" s="548"/>
      <c r="T84" s="829">
        <v>199</v>
      </c>
      <c r="U84" s="568"/>
      <c r="V84" s="460"/>
    </row>
    <row r="85" spans="1:24" s="467" customFormat="1" x14ac:dyDescent="0.25">
      <c r="A85" s="549" t="s">
        <v>969</v>
      </c>
      <c r="B85" s="550" t="s">
        <v>970</v>
      </c>
      <c r="C85" s="551"/>
      <c r="D85" s="552"/>
      <c r="E85" s="557"/>
      <c r="F85" s="552"/>
      <c r="G85" s="552"/>
      <c r="H85" s="558"/>
      <c r="I85" s="558"/>
      <c r="J85" s="559"/>
      <c r="K85" s="559"/>
      <c r="L85" s="559"/>
      <c r="M85" s="559"/>
      <c r="N85" s="559"/>
      <c r="O85" s="559"/>
      <c r="P85" s="559"/>
      <c r="Q85" s="559"/>
      <c r="R85" s="555"/>
      <c r="S85" s="559"/>
      <c r="T85" s="831"/>
      <c r="U85" s="466"/>
      <c r="V85" s="460"/>
    </row>
    <row r="86" spans="1:24" s="569" customFormat="1" x14ac:dyDescent="0.25">
      <c r="A86" s="693" t="s">
        <v>971</v>
      </c>
      <c r="B86" s="694" t="s">
        <v>972</v>
      </c>
      <c r="C86" s="689">
        <v>25000</v>
      </c>
      <c r="D86" s="686">
        <v>15000</v>
      </c>
      <c r="E86" s="690">
        <v>5263.2</v>
      </c>
      <c r="F86" s="686">
        <v>10000</v>
      </c>
      <c r="G86" s="544"/>
      <c r="H86" s="567">
        <v>0</v>
      </c>
      <c r="I86" s="567">
        <v>0</v>
      </c>
      <c r="J86" s="548">
        <v>0</v>
      </c>
      <c r="K86" s="548">
        <v>0</v>
      </c>
      <c r="L86" s="548">
        <v>1951.6</v>
      </c>
      <c r="M86" s="548">
        <v>2195.5500000000002</v>
      </c>
      <c r="N86" s="548">
        <v>2195.5500000000002</v>
      </c>
      <c r="O86" s="548">
        <v>2814.35</v>
      </c>
      <c r="P86" s="548">
        <v>2814.35</v>
      </c>
      <c r="Q86" s="548">
        <v>2814.35</v>
      </c>
      <c r="R86" s="548">
        <v>3462.9</v>
      </c>
      <c r="S86" s="548"/>
      <c r="T86" s="829">
        <v>7761.38</v>
      </c>
      <c r="U86" s="568"/>
      <c r="V86" s="460"/>
    </row>
    <row r="87" spans="1:24" s="569" customFormat="1" x14ac:dyDescent="0.25">
      <c r="A87" s="693" t="s">
        <v>425</v>
      </c>
      <c r="B87" s="694" t="s">
        <v>973</v>
      </c>
      <c r="C87" s="689">
        <v>4000</v>
      </c>
      <c r="D87" s="686">
        <v>4000</v>
      </c>
      <c r="E87" s="690">
        <v>4093.45</v>
      </c>
      <c r="F87" s="686">
        <v>5000</v>
      </c>
      <c r="G87" s="544"/>
      <c r="H87" s="567">
        <v>585.48</v>
      </c>
      <c r="I87" s="567">
        <v>585.48</v>
      </c>
      <c r="J87" s="548">
        <v>1026.97</v>
      </c>
      <c r="K87" s="548">
        <v>1362.85</v>
      </c>
      <c r="L87" s="548">
        <v>1663.92</v>
      </c>
      <c r="M87" s="548">
        <v>1937.03</v>
      </c>
      <c r="N87" s="548">
        <v>1937.03</v>
      </c>
      <c r="O87" s="548">
        <v>2226.1999999999998</v>
      </c>
      <c r="P87" s="548">
        <v>2499.31</v>
      </c>
      <c r="Q87" s="548">
        <v>2772.42</v>
      </c>
      <c r="R87" s="548">
        <v>3045.53</v>
      </c>
      <c r="S87" s="548"/>
      <c r="T87" s="829">
        <v>3663.15</v>
      </c>
      <c r="U87" s="568"/>
      <c r="V87" s="460"/>
    </row>
    <row r="88" spans="1:24" s="569" customFormat="1" x14ac:dyDescent="0.25">
      <c r="A88" s="693" t="s">
        <v>428</v>
      </c>
      <c r="B88" s="694" t="s">
        <v>974</v>
      </c>
      <c r="C88" s="689">
        <v>1000</v>
      </c>
      <c r="D88" s="686">
        <v>1000</v>
      </c>
      <c r="E88" s="690">
        <v>0</v>
      </c>
      <c r="F88" s="686">
        <v>500</v>
      </c>
      <c r="G88" s="544"/>
      <c r="H88" s="567">
        <v>0</v>
      </c>
      <c r="I88" s="567">
        <v>0</v>
      </c>
      <c r="J88" s="548">
        <v>0</v>
      </c>
      <c r="K88" s="548">
        <v>0</v>
      </c>
      <c r="L88" s="548">
        <v>0</v>
      </c>
      <c r="M88" s="548">
        <v>0</v>
      </c>
      <c r="N88" s="548">
        <v>0</v>
      </c>
      <c r="O88" s="548">
        <v>0</v>
      </c>
      <c r="P88" s="548">
        <v>0</v>
      </c>
      <c r="Q88" s="548">
        <v>0</v>
      </c>
      <c r="R88" s="548">
        <v>0</v>
      </c>
      <c r="S88" s="548"/>
      <c r="T88" s="828">
        <v>1517.25</v>
      </c>
      <c r="U88" s="568"/>
      <c r="V88" s="460"/>
    </row>
    <row r="89" spans="1:24" s="467" customFormat="1" x14ac:dyDescent="0.25">
      <c r="A89" s="549" t="s">
        <v>975</v>
      </c>
      <c r="B89" s="550" t="s">
        <v>976</v>
      </c>
      <c r="C89" s="551"/>
      <c r="D89" s="552"/>
      <c r="E89" s="557"/>
      <c r="F89" s="552"/>
      <c r="G89" s="552"/>
      <c r="H89" s="558"/>
      <c r="I89" s="558"/>
      <c r="J89" s="559"/>
      <c r="K89" s="559"/>
      <c r="L89" s="559"/>
      <c r="M89" s="559"/>
      <c r="N89" s="559"/>
      <c r="O89" s="559"/>
      <c r="P89" s="559"/>
      <c r="Q89" s="559"/>
      <c r="R89" s="555"/>
      <c r="S89" s="559"/>
      <c r="T89" s="831"/>
      <c r="U89" s="466"/>
      <c r="V89" s="460"/>
    </row>
    <row r="90" spans="1:24" s="467" customFormat="1" x14ac:dyDescent="0.25">
      <c r="A90" s="549" t="s">
        <v>977</v>
      </c>
      <c r="B90" s="550" t="s">
        <v>978</v>
      </c>
      <c r="C90" s="551"/>
      <c r="D90" s="552"/>
      <c r="E90" s="557"/>
      <c r="F90" s="552"/>
      <c r="G90" s="552"/>
      <c r="H90" s="558"/>
      <c r="I90" s="558"/>
      <c r="J90" s="559"/>
      <c r="K90" s="559"/>
      <c r="L90" s="559"/>
      <c r="M90" s="559"/>
      <c r="N90" s="559"/>
      <c r="O90" s="559"/>
      <c r="P90" s="559"/>
      <c r="Q90" s="559"/>
      <c r="R90" s="555"/>
      <c r="S90" s="559"/>
      <c r="T90" s="831"/>
      <c r="U90" s="466"/>
      <c r="V90" s="460"/>
    </row>
    <row r="91" spans="1:24" s="569" customFormat="1" x14ac:dyDescent="0.25">
      <c r="A91" s="693" t="s">
        <v>979</v>
      </c>
      <c r="B91" s="694" t="s">
        <v>980</v>
      </c>
      <c r="C91" s="543">
        <v>300</v>
      </c>
      <c r="D91" s="544">
        <v>300</v>
      </c>
      <c r="E91" s="547">
        <v>0</v>
      </c>
      <c r="F91" s="686">
        <v>300</v>
      </c>
      <c r="G91" s="544"/>
      <c r="H91" s="567">
        <v>0</v>
      </c>
      <c r="I91" s="567">
        <v>0</v>
      </c>
      <c r="J91" s="548">
        <v>0</v>
      </c>
      <c r="K91" s="548">
        <v>0</v>
      </c>
      <c r="L91" s="548">
        <v>0</v>
      </c>
      <c r="M91" s="548">
        <v>0</v>
      </c>
      <c r="N91" s="548">
        <v>0</v>
      </c>
      <c r="O91" s="548">
        <v>0</v>
      </c>
      <c r="P91" s="548">
        <v>0</v>
      </c>
      <c r="Q91" s="548">
        <v>0</v>
      </c>
      <c r="R91" s="548">
        <v>0</v>
      </c>
      <c r="S91" s="548"/>
      <c r="T91" s="829">
        <v>0</v>
      </c>
      <c r="U91" s="568"/>
      <c r="V91" s="460"/>
    </row>
    <row r="92" spans="1:24" s="569" customFormat="1" x14ac:dyDescent="0.25">
      <c r="A92" s="693" t="s">
        <v>981</v>
      </c>
      <c r="B92" s="694" t="s">
        <v>982</v>
      </c>
      <c r="C92" s="543">
        <v>100</v>
      </c>
      <c r="D92" s="544">
        <v>100</v>
      </c>
      <c r="E92" s="547">
        <v>0</v>
      </c>
      <c r="F92" s="686">
        <v>0</v>
      </c>
      <c r="G92" s="544"/>
      <c r="H92" s="567">
        <v>0</v>
      </c>
      <c r="I92" s="567">
        <v>0</v>
      </c>
      <c r="J92" s="548">
        <v>0</v>
      </c>
      <c r="K92" s="548">
        <v>0</v>
      </c>
      <c r="L92" s="548">
        <v>0</v>
      </c>
      <c r="M92" s="548">
        <v>0</v>
      </c>
      <c r="N92" s="548">
        <v>0</v>
      </c>
      <c r="O92" s="548">
        <v>0</v>
      </c>
      <c r="P92" s="548">
        <v>0</v>
      </c>
      <c r="Q92" s="548">
        <v>0</v>
      </c>
      <c r="R92" s="548">
        <v>0</v>
      </c>
      <c r="S92" s="548"/>
      <c r="T92" s="829">
        <v>0</v>
      </c>
      <c r="U92" s="568"/>
      <c r="V92" s="460"/>
    </row>
    <row r="93" spans="1:24" s="569" customFormat="1" x14ac:dyDescent="0.25">
      <c r="A93" s="693" t="s">
        <v>983</v>
      </c>
      <c r="B93" s="694" t="s">
        <v>984</v>
      </c>
      <c r="C93" s="543">
        <v>100</v>
      </c>
      <c r="D93" s="544">
        <v>100</v>
      </c>
      <c r="E93" s="547">
        <v>0</v>
      </c>
      <c r="F93" s="686">
        <v>100</v>
      </c>
      <c r="G93" s="544"/>
      <c r="H93" s="567">
        <v>0</v>
      </c>
      <c r="I93" s="567">
        <v>0</v>
      </c>
      <c r="J93" s="548">
        <v>0</v>
      </c>
      <c r="K93" s="548">
        <v>0</v>
      </c>
      <c r="L93" s="548">
        <v>0</v>
      </c>
      <c r="M93" s="548">
        <v>0</v>
      </c>
      <c r="N93" s="548">
        <v>0</v>
      </c>
      <c r="O93" s="548">
        <v>0</v>
      </c>
      <c r="P93" s="548">
        <v>0</v>
      </c>
      <c r="Q93" s="548">
        <v>0</v>
      </c>
      <c r="R93" s="548">
        <v>0</v>
      </c>
      <c r="S93" s="548"/>
      <c r="T93" s="829">
        <v>0</v>
      </c>
      <c r="U93" s="568"/>
      <c r="V93" s="460"/>
    </row>
    <row r="94" spans="1:24" s="467" customFormat="1" x14ac:dyDescent="0.25">
      <c r="A94" s="549" t="s">
        <v>985</v>
      </c>
      <c r="B94" s="550" t="s">
        <v>986</v>
      </c>
      <c r="C94" s="551"/>
      <c r="D94" s="552"/>
      <c r="E94" s="557"/>
      <c r="F94" s="552"/>
      <c r="G94" s="552"/>
      <c r="H94" s="558"/>
      <c r="I94" s="558"/>
      <c r="J94" s="559"/>
      <c r="K94" s="559"/>
      <c r="L94" s="559"/>
      <c r="M94" s="559"/>
      <c r="N94" s="559"/>
      <c r="O94" s="559"/>
      <c r="P94" s="559"/>
      <c r="Q94" s="559"/>
      <c r="R94" s="555"/>
      <c r="S94" s="559"/>
      <c r="T94" s="831"/>
      <c r="U94" s="466"/>
      <c r="V94" s="460"/>
    </row>
    <row r="95" spans="1:24" x14ac:dyDescent="0.25">
      <c r="A95" s="687" t="s">
        <v>987</v>
      </c>
      <c r="B95" s="688" t="s">
        <v>988</v>
      </c>
      <c r="C95" s="543">
        <v>35000</v>
      </c>
      <c r="D95" s="544">
        <v>23000</v>
      </c>
      <c r="E95" s="547">
        <v>9247.4</v>
      </c>
      <c r="F95" s="686">
        <v>25000</v>
      </c>
      <c r="G95" s="544"/>
      <c r="H95" s="548">
        <v>952.75</v>
      </c>
      <c r="I95" s="548">
        <v>3316.7</v>
      </c>
      <c r="J95" s="548">
        <v>4044.6</v>
      </c>
      <c r="K95" s="548">
        <v>4691.7</v>
      </c>
      <c r="L95" s="548">
        <v>4834.42</v>
      </c>
      <c r="M95" s="548">
        <v>5209.97</v>
      </c>
      <c r="N95" s="548">
        <v>5286.17</v>
      </c>
      <c r="O95" s="548">
        <v>5723.01</v>
      </c>
      <c r="P95" s="548">
        <v>5924.71</v>
      </c>
      <c r="Q95" s="548">
        <v>6248.21</v>
      </c>
      <c r="R95" s="548">
        <v>6284.66</v>
      </c>
      <c r="S95" s="548"/>
      <c r="T95" s="829">
        <v>6559.06</v>
      </c>
      <c r="U95" s="435" t="s">
        <v>264</v>
      </c>
      <c r="X95" s="620">
        <f>F96+F97+F99+F100+F102+F103</f>
        <v>10350</v>
      </c>
    </row>
    <row r="96" spans="1:24" x14ac:dyDescent="0.25">
      <c r="A96" s="687" t="s">
        <v>989</v>
      </c>
      <c r="B96" s="688" t="s">
        <v>990</v>
      </c>
      <c r="C96" s="689">
        <v>2000</v>
      </c>
      <c r="D96" s="686">
        <v>2000</v>
      </c>
      <c r="E96" s="690">
        <v>290</v>
      </c>
      <c r="F96" s="686">
        <v>2500</v>
      </c>
      <c r="G96" s="544"/>
      <c r="H96" s="548">
        <v>0</v>
      </c>
      <c r="I96" s="548">
        <v>1542.54</v>
      </c>
      <c r="J96" s="548">
        <v>1542.54</v>
      </c>
      <c r="K96" s="548">
        <v>1542.54</v>
      </c>
      <c r="L96" s="548">
        <v>1542.54</v>
      </c>
      <c r="M96" s="548">
        <v>1542.54</v>
      </c>
      <c r="N96" s="548">
        <v>1542.54</v>
      </c>
      <c r="O96" s="548">
        <v>1542.54</v>
      </c>
      <c r="P96" s="548">
        <v>1542.54</v>
      </c>
      <c r="Q96" s="548">
        <v>1542.54</v>
      </c>
      <c r="R96" s="548">
        <v>1542.54</v>
      </c>
      <c r="S96" s="548"/>
      <c r="T96" s="829">
        <v>1542.54</v>
      </c>
    </row>
    <row r="97" spans="1:25" x14ac:dyDescent="0.25">
      <c r="A97" s="687" t="s">
        <v>991</v>
      </c>
      <c r="B97" s="688" t="s">
        <v>992</v>
      </c>
      <c r="C97" s="689">
        <v>12000</v>
      </c>
      <c r="D97" s="686">
        <v>12000</v>
      </c>
      <c r="E97" s="690">
        <v>2049.5300000000002</v>
      </c>
      <c r="F97" s="686">
        <v>6000</v>
      </c>
      <c r="G97" s="544"/>
      <c r="H97" s="548">
        <v>72</v>
      </c>
      <c r="I97" s="548">
        <v>2589.4299999999998</v>
      </c>
      <c r="J97" s="548">
        <v>2589.4299999999998</v>
      </c>
      <c r="K97" s="548">
        <v>2737.03</v>
      </c>
      <c r="L97" s="548">
        <v>2737.03</v>
      </c>
      <c r="M97" s="548">
        <v>2737.03</v>
      </c>
      <c r="N97" s="548">
        <v>2809.03</v>
      </c>
      <c r="O97" s="548">
        <v>2809.03</v>
      </c>
      <c r="P97" s="548">
        <v>2809.03</v>
      </c>
      <c r="Q97" s="548">
        <v>2809.03</v>
      </c>
      <c r="R97" s="548">
        <v>2809.03</v>
      </c>
      <c r="S97" s="548"/>
      <c r="T97" s="829">
        <v>2905.03</v>
      </c>
    </row>
    <row r="98" spans="1:25" x14ac:dyDescent="0.25">
      <c r="A98" s="687" t="s">
        <v>993</v>
      </c>
      <c r="B98" s="688" t="s">
        <v>994</v>
      </c>
      <c r="C98" s="689">
        <v>12000</v>
      </c>
      <c r="D98" s="686">
        <v>12000</v>
      </c>
      <c r="E98" s="690">
        <v>1534.52</v>
      </c>
      <c r="F98" s="686">
        <v>7000</v>
      </c>
      <c r="G98" s="544"/>
      <c r="H98" s="548">
        <v>6</v>
      </c>
      <c r="I98" s="548">
        <v>1048.8599999999999</v>
      </c>
      <c r="J98" s="548">
        <v>1390.86</v>
      </c>
      <c r="K98" s="548">
        <v>1390.86</v>
      </c>
      <c r="L98" s="548">
        <v>1467.86</v>
      </c>
      <c r="M98" s="548">
        <v>1467.86</v>
      </c>
      <c r="N98" s="548">
        <v>1467.86</v>
      </c>
      <c r="O98" s="548">
        <v>2241.86</v>
      </c>
      <c r="P98" s="548">
        <v>2280.86</v>
      </c>
      <c r="Q98" s="548">
        <v>2350.86</v>
      </c>
      <c r="R98" s="548">
        <v>3093.11</v>
      </c>
      <c r="S98" s="548"/>
      <c r="T98" s="829">
        <v>3180.51</v>
      </c>
    </row>
    <row r="99" spans="1:25" x14ac:dyDescent="0.2">
      <c r="A99" s="706" t="s">
        <v>995</v>
      </c>
      <c r="B99" s="707" t="s">
        <v>996</v>
      </c>
      <c r="C99" s="708">
        <v>1000</v>
      </c>
      <c r="D99" s="709">
        <v>1000</v>
      </c>
      <c r="E99" s="690">
        <v>160</v>
      </c>
      <c r="F99" s="710">
        <v>500</v>
      </c>
      <c r="G99" s="570"/>
      <c r="H99" s="571">
        <v>0</v>
      </c>
      <c r="I99" s="548">
        <v>0</v>
      </c>
      <c r="J99" s="548">
        <v>0</v>
      </c>
      <c r="K99" s="548">
        <v>0</v>
      </c>
      <c r="L99" s="548">
        <v>0</v>
      </c>
      <c r="M99" s="548">
        <v>0</v>
      </c>
      <c r="N99" s="548">
        <v>0</v>
      </c>
      <c r="O99" s="548">
        <v>0</v>
      </c>
      <c r="P99" s="548">
        <v>0</v>
      </c>
      <c r="Q99" s="548">
        <v>0</v>
      </c>
      <c r="R99" s="548">
        <v>0</v>
      </c>
      <c r="S99" s="548"/>
      <c r="T99" s="829">
        <v>0</v>
      </c>
    </row>
    <row r="100" spans="1:25" x14ac:dyDescent="0.2">
      <c r="A100" s="700" t="s">
        <v>997</v>
      </c>
      <c r="B100" s="701" t="s">
        <v>998</v>
      </c>
      <c r="C100" s="711">
        <v>4000</v>
      </c>
      <c r="D100" s="712">
        <v>4000</v>
      </c>
      <c r="E100" s="690">
        <v>132</v>
      </c>
      <c r="F100" s="699">
        <v>1000</v>
      </c>
      <c r="G100" s="573"/>
      <c r="H100" s="574">
        <v>168</v>
      </c>
      <c r="I100" s="548">
        <v>168</v>
      </c>
      <c r="J100" s="548">
        <v>168</v>
      </c>
      <c r="K100" s="548">
        <v>168</v>
      </c>
      <c r="L100" s="548">
        <v>168</v>
      </c>
      <c r="M100" s="548">
        <v>168</v>
      </c>
      <c r="N100" s="548">
        <v>168</v>
      </c>
      <c r="O100" s="548">
        <v>240</v>
      </c>
      <c r="P100" s="548">
        <v>240</v>
      </c>
      <c r="Q100" s="548">
        <v>360</v>
      </c>
      <c r="R100" s="548">
        <v>360</v>
      </c>
      <c r="S100" s="548"/>
      <c r="T100" s="829">
        <v>360</v>
      </c>
    </row>
    <row r="101" spans="1:25" x14ac:dyDescent="0.2">
      <c r="A101" s="700" t="s">
        <v>999</v>
      </c>
      <c r="B101" s="701" t="s">
        <v>1000</v>
      </c>
      <c r="C101" s="711">
        <v>1000</v>
      </c>
      <c r="D101" s="712">
        <v>1000</v>
      </c>
      <c r="E101" s="690">
        <v>329.2</v>
      </c>
      <c r="F101" s="699">
        <v>500</v>
      </c>
      <c r="G101" s="573"/>
      <c r="H101" s="574">
        <v>106.2</v>
      </c>
      <c r="I101" s="548">
        <v>106.2</v>
      </c>
      <c r="J101" s="548">
        <v>106.2</v>
      </c>
      <c r="K101" s="548">
        <v>106.2</v>
      </c>
      <c r="L101" s="548">
        <v>356.8</v>
      </c>
      <c r="M101" s="548">
        <v>356.8</v>
      </c>
      <c r="N101" s="548">
        <v>356.8</v>
      </c>
      <c r="O101" s="548">
        <v>356.8</v>
      </c>
      <c r="P101" s="548">
        <v>482.45</v>
      </c>
      <c r="Q101" s="548">
        <v>482.45</v>
      </c>
      <c r="R101" s="548">
        <v>482.45</v>
      </c>
      <c r="S101" s="548"/>
      <c r="T101" s="829">
        <v>482.45</v>
      </c>
    </row>
    <row r="102" spans="1:25" x14ac:dyDescent="0.2">
      <c r="A102" s="700" t="s">
        <v>1001</v>
      </c>
      <c r="B102" s="701" t="s">
        <v>1002</v>
      </c>
      <c r="C102" s="711">
        <v>500</v>
      </c>
      <c r="D102" s="712">
        <v>500</v>
      </c>
      <c r="E102" s="690">
        <v>0</v>
      </c>
      <c r="F102" s="699">
        <v>100</v>
      </c>
      <c r="G102" s="573"/>
      <c r="H102" s="574">
        <v>0</v>
      </c>
      <c r="I102" s="548">
        <v>0</v>
      </c>
      <c r="J102" s="548">
        <v>0</v>
      </c>
      <c r="K102" s="548">
        <v>0</v>
      </c>
      <c r="L102" s="548">
        <v>0</v>
      </c>
      <c r="M102" s="548">
        <v>0</v>
      </c>
      <c r="N102" s="548">
        <v>0</v>
      </c>
      <c r="O102" s="548">
        <v>0</v>
      </c>
      <c r="P102" s="548">
        <v>0</v>
      </c>
      <c r="Q102" s="548">
        <v>0</v>
      </c>
      <c r="R102" s="548">
        <v>0</v>
      </c>
      <c r="S102" s="548"/>
      <c r="T102" s="829">
        <v>0</v>
      </c>
    </row>
    <row r="103" spans="1:25" x14ac:dyDescent="0.2">
      <c r="A103" s="713" t="s">
        <v>1003</v>
      </c>
      <c r="B103" s="714" t="s">
        <v>1004</v>
      </c>
      <c r="C103" s="715">
        <v>1000</v>
      </c>
      <c r="D103" s="716">
        <v>1000</v>
      </c>
      <c r="E103" s="690">
        <v>244</v>
      </c>
      <c r="F103" s="717">
        <v>250</v>
      </c>
      <c r="G103" s="575"/>
      <c r="H103" s="576">
        <v>0</v>
      </c>
      <c r="I103" s="548">
        <v>0</v>
      </c>
      <c r="J103" s="548">
        <v>0</v>
      </c>
      <c r="K103" s="548">
        <v>0</v>
      </c>
      <c r="L103" s="548">
        <v>0</v>
      </c>
      <c r="M103" s="548">
        <v>0</v>
      </c>
      <c r="N103" s="548">
        <v>0</v>
      </c>
      <c r="O103" s="548">
        <v>0</v>
      </c>
      <c r="P103" s="548">
        <v>0</v>
      </c>
      <c r="Q103" s="548">
        <v>0</v>
      </c>
      <c r="R103" s="548">
        <v>0</v>
      </c>
      <c r="S103" s="548"/>
      <c r="T103" s="829">
        <v>0</v>
      </c>
    </row>
    <row r="104" spans="1:25" s="467" customFormat="1" x14ac:dyDescent="0.25">
      <c r="A104" s="549" t="s">
        <v>1005</v>
      </c>
      <c r="B104" s="550" t="s">
        <v>1006</v>
      </c>
      <c r="C104" s="551"/>
      <c r="D104" s="552"/>
      <c r="E104" s="553"/>
      <c r="F104" s="552"/>
      <c r="G104" s="552"/>
      <c r="H104" s="558"/>
      <c r="I104" s="558"/>
      <c r="J104" s="559"/>
      <c r="K104" s="559"/>
      <c r="L104" s="559"/>
      <c r="M104" s="559"/>
      <c r="N104" s="559"/>
      <c r="O104" s="559"/>
      <c r="P104" s="559"/>
      <c r="Q104" s="559"/>
      <c r="R104" s="555"/>
      <c r="S104" s="555"/>
      <c r="T104" s="830"/>
      <c r="U104" s="466"/>
      <c r="V104" s="460"/>
    </row>
    <row r="105" spans="1:25" x14ac:dyDescent="0.2">
      <c r="A105" s="702" t="s">
        <v>1007</v>
      </c>
      <c r="B105" s="703" t="s">
        <v>1008</v>
      </c>
      <c r="C105" s="543">
        <v>20000</v>
      </c>
      <c r="D105" s="544">
        <v>14000</v>
      </c>
      <c r="E105" s="547">
        <v>4708.34</v>
      </c>
      <c r="F105" s="686">
        <v>10000</v>
      </c>
      <c r="G105" s="544"/>
      <c r="H105" s="577">
        <v>149.35</v>
      </c>
      <c r="I105" s="548">
        <v>468.79</v>
      </c>
      <c r="J105" s="548">
        <v>644.29</v>
      </c>
      <c r="K105" s="548">
        <v>836.19</v>
      </c>
      <c r="L105" s="548">
        <v>1571.22</v>
      </c>
      <c r="M105" s="548">
        <v>2032.66</v>
      </c>
      <c r="N105" s="548">
        <v>2138.86</v>
      </c>
      <c r="O105" s="548">
        <v>2138.86</v>
      </c>
      <c r="P105" s="548">
        <v>2599.1999999999998</v>
      </c>
      <c r="Q105" s="548">
        <v>2732.82</v>
      </c>
      <c r="R105" s="548">
        <v>2935.52</v>
      </c>
      <c r="S105" s="548"/>
      <c r="T105" s="829">
        <v>3531.01</v>
      </c>
      <c r="U105" s="435" t="s">
        <v>243</v>
      </c>
      <c r="Y105" s="620">
        <f>F105+F109+F112+F133+F152++F160+F170+F184</f>
        <v>17800</v>
      </c>
    </row>
    <row r="106" spans="1:25" x14ac:dyDescent="0.2">
      <c r="A106" s="702" t="s">
        <v>1009</v>
      </c>
      <c r="B106" s="703" t="s">
        <v>1010</v>
      </c>
      <c r="C106" s="543">
        <v>2500</v>
      </c>
      <c r="D106" s="544">
        <v>7500</v>
      </c>
      <c r="E106" s="547">
        <v>80</v>
      </c>
      <c r="F106" s="686">
        <v>1000</v>
      </c>
      <c r="G106" s="544"/>
      <c r="H106" s="577">
        <v>0</v>
      </c>
      <c r="I106" s="548">
        <v>0</v>
      </c>
      <c r="J106" s="548">
        <v>0</v>
      </c>
      <c r="K106" s="548">
        <v>0</v>
      </c>
      <c r="L106" s="548">
        <v>0</v>
      </c>
      <c r="M106" s="548">
        <v>0</v>
      </c>
      <c r="N106" s="548">
        <v>0</v>
      </c>
      <c r="O106" s="548">
        <v>0</v>
      </c>
      <c r="P106" s="548">
        <v>0</v>
      </c>
      <c r="Q106" s="548">
        <v>0</v>
      </c>
      <c r="R106" s="548">
        <v>0</v>
      </c>
      <c r="S106" s="548"/>
      <c r="T106" s="829">
        <v>0</v>
      </c>
      <c r="U106" s="435" t="s">
        <v>268</v>
      </c>
      <c r="Y106" s="620">
        <f>F106+F107+F110+F111+F113+F114++F172+F186</f>
        <v>5960</v>
      </c>
    </row>
    <row r="107" spans="1:25" x14ac:dyDescent="0.2">
      <c r="A107" s="702" t="s">
        <v>1011</v>
      </c>
      <c r="B107" s="703" t="s">
        <v>1012</v>
      </c>
      <c r="C107" s="543">
        <v>10000</v>
      </c>
      <c r="D107" s="544">
        <v>5000</v>
      </c>
      <c r="E107" s="547">
        <v>1169.4000000000001</v>
      </c>
      <c r="F107" s="686">
        <v>3500</v>
      </c>
      <c r="G107" s="544"/>
      <c r="H107" s="577">
        <v>168</v>
      </c>
      <c r="I107" s="548">
        <v>264</v>
      </c>
      <c r="J107" s="548">
        <v>312</v>
      </c>
      <c r="K107" s="548">
        <v>312</v>
      </c>
      <c r="L107" s="548">
        <v>404.2</v>
      </c>
      <c r="M107" s="548">
        <v>438.2</v>
      </c>
      <c r="N107" s="548">
        <v>438.2</v>
      </c>
      <c r="O107" s="548">
        <v>606.20000000000005</v>
      </c>
      <c r="P107" s="548">
        <v>822.2</v>
      </c>
      <c r="Q107" s="548">
        <v>942.2</v>
      </c>
      <c r="R107" s="548">
        <v>1014.2</v>
      </c>
      <c r="S107" s="548"/>
      <c r="T107" s="829">
        <v>1551.23</v>
      </c>
    </row>
    <row r="108" spans="1:25" s="467" customFormat="1" x14ac:dyDescent="0.25">
      <c r="A108" s="549" t="s">
        <v>1013</v>
      </c>
      <c r="B108" s="550" t="s">
        <v>1014</v>
      </c>
      <c r="C108" s="551"/>
      <c r="D108" s="552"/>
      <c r="E108" s="553"/>
      <c r="F108" s="552"/>
      <c r="G108" s="552"/>
      <c r="H108" s="558"/>
      <c r="I108" s="558"/>
      <c r="J108" s="559"/>
      <c r="K108" s="559"/>
      <c r="L108" s="559"/>
      <c r="M108" s="559"/>
      <c r="N108" s="559"/>
      <c r="O108" s="559"/>
      <c r="P108" s="559"/>
      <c r="Q108" s="559"/>
      <c r="R108" s="555"/>
      <c r="S108" s="555"/>
      <c r="T108" s="830"/>
      <c r="U108" s="466"/>
      <c r="V108" s="460"/>
    </row>
    <row r="109" spans="1:25" x14ac:dyDescent="0.2">
      <c r="A109" s="702" t="s">
        <v>1015</v>
      </c>
      <c r="B109" s="703" t="s">
        <v>1016</v>
      </c>
      <c r="C109" s="543">
        <v>1000</v>
      </c>
      <c r="D109" s="544">
        <v>1000</v>
      </c>
      <c r="E109" s="547">
        <v>312.39999999999998</v>
      </c>
      <c r="F109" s="686">
        <v>500</v>
      </c>
      <c r="G109" s="544"/>
      <c r="H109" s="578">
        <v>0</v>
      </c>
      <c r="I109" s="546">
        <v>0</v>
      </c>
      <c r="J109" s="548">
        <v>24.9</v>
      </c>
      <c r="K109" s="548">
        <v>24.9</v>
      </c>
      <c r="L109" s="548">
        <v>24.9</v>
      </c>
      <c r="M109" s="548">
        <v>24.9</v>
      </c>
      <c r="N109" s="548">
        <v>24.9</v>
      </c>
      <c r="O109" s="548">
        <v>24.9</v>
      </c>
      <c r="P109" s="548">
        <v>24.9</v>
      </c>
      <c r="Q109" s="548">
        <v>24.9</v>
      </c>
      <c r="R109" s="548">
        <v>24.9</v>
      </c>
      <c r="S109" s="548"/>
      <c r="T109" s="829">
        <v>24.9</v>
      </c>
    </row>
    <row r="110" spans="1:25" x14ac:dyDescent="0.2">
      <c r="A110" s="702" t="s">
        <v>1017</v>
      </c>
      <c r="B110" s="703" t="s">
        <v>1018</v>
      </c>
      <c r="C110" s="543">
        <v>100</v>
      </c>
      <c r="D110" s="544">
        <v>100</v>
      </c>
      <c r="E110" s="547">
        <v>0</v>
      </c>
      <c r="F110" s="686">
        <v>0</v>
      </c>
      <c r="G110" s="544"/>
      <c r="H110" s="578">
        <v>0</v>
      </c>
      <c r="I110" s="546">
        <v>0</v>
      </c>
      <c r="J110" s="548">
        <v>0</v>
      </c>
      <c r="K110" s="548">
        <v>0</v>
      </c>
      <c r="L110" s="548">
        <v>0</v>
      </c>
      <c r="M110" s="548">
        <v>0</v>
      </c>
      <c r="N110" s="548">
        <v>0</v>
      </c>
      <c r="O110" s="548">
        <v>0</v>
      </c>
      <c r="P110" s="548">
        <v>0</v>
      </c>
      <c r="Q110" s="548">
        <v>0</v>
      </c>
      <c r="R110" s="548">
        <v>0</v>
      </c>
      <c r="S110" s="548"/>
      <c r="T110" s="829">
        <v>0</v>
      </c>
    </row>
    <row r="111" spans="1:25" x14ac:dyDescent="0.2">
      <c r="A111" s="702" t="s">
        <v>1019</v>
      </c>
      <c r="B111" s="703" t="s">
        <v>1020</v>
      </c>
      <c r="C111" s="543">
        <v>200</v>
      </c>
      <c r="D111" s="544">
        <v>200</v>
      </c>
      <c r="E111" s="547">
        <v>0</v>
      </c>
      <c r="F111" s="686">
        <v>100</v>
      </c>
      <c r="G111" s="544"/>
      <c r="H111" s="578">
        <v>0</v>
      </c>
      <c r="I111" s="546">
        <v>0</v>
      </c>
      <c r="J111" s="548">
        <v>0</v>
      </c>
      <c r="K111" s="548">
        <v>0</v>
      </c>
      <c r="L111" s="548">
        <v>0</v>
      </c>
      <c r="M111" s="548">
        <v>0</v>
      </c>
      <c r="N111" s="548">
        <v>0</v>
      </c>
      <c r="O111" s="548">
        <v>0</v>
      </c>
      <c r="P111" s="548">
        <v>0</v>
      </c>
      <c r="Q111" s="548">
        <v>0</v>
      </c>
      <c r="R111" s="548">
        <v>0</v>
      </c>
      <c r="S111" s="548"/>
      <c r="T111" s="829">
        <v>0</v>
      </c>
    </row>
    <row r="112" spans="1:25" x14ac:dyDescent="0.2">
      <c r="A112" s="702" t="s">
        <v>1021</v>
      </c>
      <c r="B112" s="703" t="s">
        <v>1022</v>
      </c>
      <c r="C112" s="543">
        <v>1500</v>
      </c>
      <c r="D112" s="544">
        <v>1500</v>
      </c>
      <c r="E112" s="547">
        <v>0</v>
      </c>
      <c r="F112" s="686">
        <v>300</v>
      </c>
      <c r="G112" s="544"/>
      <c r="H112" s="578">
        <v>0</v>
      </c>
      <c r="I112" s="546">
        <v>0</v>
      </c>
      <c r="J112" s="548">
        <v>0</v>
      </c>
      <c r="K112" s="548">
        <v>0</v>
      </c>
      <c r="L112" s="548">
        <v>0</v>
      </c>
      <c r="M112" s="548">
        <v>0</v>
      </c>
      <c r="N112" s="548">
        <v>0</v>
      </c>
      <c r="O112" s="548">
        <v>0</v>
      </c>
      <c r="P112" s="548">
        <v>0</v>
      </c>
      <c r="Q112" s="548">
        <v>0</v>
      </c>
      <c r="R112" s="548">
        <v>0</v>
      </c>
      <c r="S112" s="548"/>
      <c r="T112" s="829">
        <v>0</v>
      </c>
    </row>
    <row r="113" spans="1:22" x14ac:dyDescent="0.2">
      <c r="A113" s="702" t="s">
        <v>1023</v>
      </c>
      <c r="B113" s="703" t="s">
        <v>1024</v>
      </c>
      <c r="C113" s="543">
        <v>160</v>
      </c>
      <c r="D113" s="544">
        <v>160</v>
      </c>
      <c r="E113" s="547">
        <v>0</v>
      </c>
      <c r="F113" s="686">
        <v>160</v>
      </c>
      <c r="G113" s="544"/>
      <c r="H113" s="578">
        <v>0</v>
      </c>
      <c r="I113" s="546">
        <v>0</v>
      </c>
      <c r="J113" s="548">
        <v>0</v>
      </c>
      <c r="K113" s="548">
        <v>0</v>
      </c>
      <c r="L113" s="548">
        <v>0</v>
      </c>
      <c r="M113" s="548">
        <v>0</v>
      </c>
      <c r="N113" s="548">
        <v>0</v>
      </c>
      <c r="O113" s="548">
        <v>0</v>
      </c>
      <c r="P113" s="548">
        <v>0</v>
      </c>
      <c r="Q113" s="548">
        <v>0</v>
      </c>
      <c r="R113" s="548">
        <v>0</v>
      </c>
      <c r="S113" s="548"/>
      <c r="T113" s="829">
        <v>0</v>
      </c>
    </row>
    <row r="114" spans="1:22" x14ac:dyDescent="0.2">
      <c r="A114" s="702" t="s">
        <v>1025</v>
      </c>
      <c r="B114" s="703" t="s">
        <v>1026</v>
      </c>
      <c r="C114" s="543">
        <v>1000</v>
      </c>
      <c r="D114" s="544">
        <v>1000</v>
      </c>
      <c r="E114" s="547">
        <v>0</v>
      </c>
      <c r="F114" s="686">
        <v>200</v>
      </c>
      <c r="G114" s="544"/>
      <c r="H114" s="578">
        <v>0</v>
      </c>
      <c r="I114" s="546">
        <v>0</v>
      </c>
      <c r="J114" s="548">
        <v>0</v>
      </c>
      <c r="K114" s="548">
        <v>0</v>
      </c>
      <c r="L114" s="548">
        <v>0</v>
      </c>
      <c r="M114" s="548">
        <v>0</v>
      </c>
      <c r="N114" s="548">
        <v>0</v>
      </c>
      <c r="O114" s="548">
        <v>0</v>
      </c>
      <c r="P114" s="548">
        <v>0</v>
      </c>
      <c r="Q114" s="548">
        <v>0</v>
      </c>
      <c r="R114" s="548">
        <v>0</v>
      </c>
      <c r="S114" s="548"/>
      <c r="T114" s="829">
        <v>0</v>
      </c>
    </row>
    <row r="115" spans="1:22" s="467" customFormat="1" x14ac:dyDescent="0.25">
      <c r="A115" s="549" t="s">
        <v>1027</v>
      </c>
      <c r="B115" s="550" t="s">
        <v>1028</v>
      </c>
      <c r="C115" s="551"/>
      <c r="D115" s="552"/>
      <c r="E115" s="553"/>
      <c r="F115" s="552"/>
      <c r="G115" s="552"/>
      <c r="H115" s="558"/>
      <c r="I115" s="558"/>
      <c r="J115" s="559"/>
      <c r="K115" s="559"/>
      <c r="L115" s="559"/>
      <c r="M115" s="559"/>
      <c r="N115" s="559"/>
      <c r="O115" s="559"/>
      <c r="P115" s="559"/>
      <c r="Q115" s="559"/>
      <c r="R115" s="559"/>
      <c r="S115" s="555"/>
      <c r="T115" s="830"/>
      <c r="U115" s="466"/>
      <c r="V115" s="460"/>
    </row>
    <row r="116" spans="1:22" x14ac:dyDescent="0.25">
      <c r="A116" s="687" t="s">
        <v>1029</v>
      </c>
      <c r="B116" s="688" t="s">
        <v>1030</v>
      </c>
      <c r="C116" s="689">
        <v>2500</v>
      </c>
      <c r="D116" s="686">
        <v>2500</v>
      </c>
      <c r="E116" s="690">
        <v>575.6</v>
      </c>
      <c r="F116" s="686">
        <v>1500</v>
      </c>
      <c r="G116" s="544"/>
      <c r="H116" s="546">
        <v>0</v>
      </c>
      <c r="I116" s="546">
        <v>0</v>
      </c>
      <c r="J116" s="548">
        <v>0</v>
      </c>
      <c r="K116" s="548">
        <v>12.8</v>
      </c>
      <c r="L116" s="548">
        <v>253.4</v>
      </c>
      <c r="M116" s="548">
        <v>277.39999999999998</v>
      </c>
      <c r="N116" s="548">
        <v>277.39999999999998</v>
      </c>
      <c r="O116" s="548">
        <v>277.39999999999998</v>
      </c>
      <c r="P116" s="548">
        <v>296</v>
      </c>
      <c r="Q116" s="548">
        <v>296</v>
      </c>
      <c r="R116" s="548">
        <v>296</v>
      </c>
      <c r="S116" s="548"/>
      <c r="T116" s="829">
        <v>296</v>
      </c>
    </row>
    <row r="117" spans="1:22" x14ac:dyDescent="0.25">
      <c r="A117" s="687" t="s">
        <v>1031</v>
      </c>
      <c r="B117" s="688" t="s">
        <v>1032</v>
      </c>
      <c r="C117" s="689">
        <v>300</v>
      </c>
      <c r="D117" s="686">
        <v>300</v>
      </c>
      <c r="E117" s="690">
        <v>242.6</v>
      </c>
      <c r="F117" s="686">
        <v>100</v>
      </c>
      <c r="G117" s="544"/>
      <c r="H117" s="546">
        <v>0</v>
      </c>
      <c r="I117" s="546">
        <v>0</v>
      </c>
      <c r="J117" s="548">
        <v>0</v>
      </c>
      <c r="K117" s="548">
        <v>0</v>
      </c>
      <c r="L117" s="548">
        <v>0</v>
      </c>
      <c r="M117" s="548">
        <v>0</v>
      </c>
      <c r="N117" s="548">
        <v>0</v>
      </c>
      <c r="O117" s="548">
        <v>0</v>
      </c>
      <c r="P117" s="548">
        <v>0</v>
      </c>
      <c r="Q117" s="548">
        <v>0</v>
      </c>
      <c r="R117" s="548">
        <v>0</v>
      </c>
      <c r="S117" s="548"/>
      <c r="T117" s="829">
        <v>0</v>
      </c>
    </row>
    <row r="118" spans="1:22" s="467" customFormat="1" x14ac:dyDescent="0.25">
      <c r="A118" s="549" t="s">
        <v>1033</v>
      </c>
      <c r="B118" s="550" t="s">
        <v>1034</v>
      </c>
      <c r="C118" s="551"/>
      <c r="D118" s="552"/>
      <c r="E118" s="553"/>
      <c r="F118" s="552"/>
      <c r="G118" s="552"/>
      <c r="H118" s="558"/>
      <c r="I118" s="558"/>
      <c r="J118" s="559"/>
      <c r="K118" s="559"/>
      <c r="L118" s="559"/>
      <c r="M118" s="559"/>
      <c r="N118" s="559"/>
      <c r="O118" s="559"/>
      <c r="P118" s="559"/>
      <c r="Q118" s="559"/>
      <c r="R118" s="559"/>
      <c r="S118" s="555"/>
      <c r="T118" s="830"/>
      <c r="U118" s="466"/>
      <c r="V118" s="460"/>
    </row>
    <row r="119" spans="1:22" x14ac:dyDescent="0.25">
      <c r="A119" s="687" t="s">
        <v>262</v>
      </c>
      <c r="B119" s="688" t="s">
        <v>1035</v>
      </c>
      <c r="C119" s="689">
        <v>4000</v>
      </c>
      <c r="D119" s="686">
        <v>4000</v>
      </c>
      <c r="E119" s="690">
        <v>375.85</v>
      </c>
      <c r="F119" s="686">
        <v>2500</v>
      </c>
      <c r="G119" s="544"/>
      <c r="H119" s="548">
        <v>141.62</v>
      </c>
      <c r="I119" s="548">
        <v>152.84</v>
      </c>
      <c r="J119" s="548">
        <v>301.83999999999997</v>
      </c>
      <c r="K119" s="548">
        <v>323.82</v>
      </c>
      <c r="L119" s="548">
        <v>333.3</v>
      </c>
      <c r="M119" s="548">
        <v>380.21</v>
      </c>
      <c r="N119" s="548">
        <v>380.21</v>
      </c>
      <c r="O119" s="548">
        <v>435.43</v>
      </c>
      <c r="P119" s="548">
        <v>512.32000000000005</v>
      </c>
      <c r="Q119" s="548">
        <v>512.32000000000005</v>
      </c>
      <c r="R119" s="548">
        <v>596.82000000000005</v>
      </c>
      <c r="S119" s="548"/>
      <c r="T119" s="829">
        <v>732.35</v>
      </c>
    </row>
    <row r="120" spans="1:22" x14ac:dyDescent="0.25">
      <c r="A120" s="687" t="s">
        <v>263</v>
      </c>
      <c r="B120" s="688" t="s">
        <v>1036</v>
      </c>
      <c r="C120" s="689">
        <v>8000</v>
      </c>
      <c r="D120" s="686">
        <v>8000</v>
      </c>
      <c r="E120" s="690">
        <v>147.28</v>
      </c>
      <c r="F120" s="686">
        <v>2500</v>
      </c>
      <c r="G120" s="544"/>
      <c r="H120" s="548">
        <v>31.37</v>
      </c>
      <c r="I120" s="548">
        <v>1797.03</v>
      </c>
      <c r="J120" s="548">
        <v>1797.03</v>
      </c>
      <c r="K120" s="548">
        <v>1797.03</v>
      </c>
      <c r="L120" s="548">
        <v>1797.03</v>
      </c>
      <c r="M120" s="548">
        <v>1797.03</v>
      </c>
      <c r="N120" s="548">
        <v>1797.03</v>
      </c>
      <c r="O120" s="548">
        <v>1797.03</v>
      </c>
      <c r="P120" s="548">
        <v>1797.03</v>
      </c>
      <c r="Q120" s="548">
        <v>1797.03</v>
      </c>
      <c r="R120" s="548">
        <v>1810.85</v>
      </c>
      <c r="S120" s="548"/>
      <c r="T120" s="829">
        <v>1810.85</v>
      </c>
    </row>
    <row r="121" spans="1:22" x14ac:dyDescent="0.25">
      <c r="A121" s="687" t="s">
        <v>267</v>
      </c>
      <c r="B121" s="688" t="s">
        <v>1037</v>
      </c>
      <c r="C121" s="689">
        <v>500</v>
      </c>
      <c r="D121" s="686">
        <v>500</v>
      </c>
      <c r="E121" s="690">
        <v>0</v>
      </c>
      <c r="F121" s="686">
        <v>100</v>
      </c>
      <c r="G121" s="544"/>
      <c r="H121" s="548">
        <v>0</v>
      </c>
      <c r="I121" s="548">
        <v>0</v>
      </c>
      <c r="J121" s="548">
        <v>0</v>
      </c>
      <c r="K121" s="548">
        <v>0</v>
      </c>
      <c r="L121" s="548">
        <v>0</v>
      </c>
      <c r="M121" s="548">
        <v>0</v>
      </c>
      <c r="N121" s="548">
        <v>0</v>
      </c>
      <c r="O121" s="548">
        <v>0</v>
      </c>
      <c r="P121" s="548">
        <v>0</v>
      </c>
      <c r="Q121" s="548">
        <v>0</v>
      </c>
      <c r="R121" s="548">
        <v>0</v>
      </c>
      <c r="S121" s="548"/>
      <c r="T121" s="829">
        <v>0</v>
      </c>
    </row>
    <row r="122" spans="1:22" s="467" customFormat="1" x14ac:dyDescent="0.25">
      <c r="A122" s="549"/>
      <c r="B122" s="550" t="s">
        <v>1038</v>
      </c>
      <c r="C122" s="551"/>
      <c r="D122" s="552"/>
      <c r="E122" s="553"/>
      <c r="F122" s="552"/>
      <c r="G122" s="552"/>
      <c r="H122" s="558"/>
      <c r="I122" s="558"/>
      <c r="J122" s="559"/>
      <c r="K122" s="559"/>
      <c r="L122" s="559"/>
      <c r="M122" s="559"/>
      <c r="N122" s="559"/>
      <c r="O122" s="559"/>
      <c r="P122" s="559"/>
      <c r="Q122" s="559"/>
      <c r="R122" s="555"/>
      <c r="S122" s="559"/>
      <c r="T122" s="830"/>
      <c r="U122" s="466"/>
      <c r="V122" s="460"/>
    </row>
    <row r="123" spans="1:22" x14ac:dyDescent="0.25">
      <c r="A123" s="687" t="s">
        <v>293</v>
      </c>
      <c r="B123" s="688" t="s">
        <v>1039</v>
      </c>
      <c r="C123" s="689">
        <v>140000</v>
      </c>
      <c r="D123" s="686">
        <v>140000</v>
      </c>
      <c r="E123" s="695">
        <v>140111.16</v>
      </c>
      <c r="F123" s="686">
        <v>155000</v>
      </c>
      <c r="G123" s="544"/>
      <c r="H123" s="546">
        <v>0</v>
      </c>
      <c r="I123" s="546">
        <v>0</v>
      </c>
      <c r="J123" s="548">
        <v>0</v>
      </c>
      <c r="K123" s="548">
        <v>33652.75</v>
      </c>
      <c r="L123" s="548">
        <v>33652.75</v>
      </c>
      <c r="M123" s="548">
        <v>33652.75</v>
      </c>
      <c r="N123" s="548">
        <v>33652.75</v>
      </c>
      <c r="O123" s="548">
        <v>33652.75</v>
      </c>
      <c r="P123" s="548">
        <v>72027.179999999993</v>
      </c>
      <c r="Q123" s="548">
        <v>72027.179999999993</v>
      </c>
      <c r="R123" s="548">
        <v>99591.75</v>
      </c>
      <c r="S123" s="556"/>
      <c r="T123" s="829">
        <v>126134.02</v>
      </c>
    </row>
    <row r="124" spans="1:22" x14ac:dyDescent="0.25">
      <c r="A124" s="687" t="s">
        <v>294</v>
      </c>
      <c r="B124" s="688" t="s">
        <v>1040</v>
      </c>
      <c r="C124" s="689">
        <v>180000</v>
      </c>
      <c r="D124" s="686">
        <v>190000</v>
      </c>
      <c r="E124" s="695">
        <v>200005.26</v>
      </c>
      <c r="F124" s="686">
        <v>205000</v>
      </c>
      <c r="G124" s="544"/>
      <c r="H124" s="546">
        <v>0</v>
      </c>
      <c r="I124" s="546">
        <v>0</v>
      </c>
      <c r="J124" s="548">
        <v>48639.86</v>
      </c>
      <c r="K124" s="548">
        <v>51019.86</v>
      </c>
      <c r="L124" s="548">
        <v>49829.86</v>
      </c>
      <c r="M124" s="548">
        <v>49829.86</v>
      </c>
      <c r="N124" s="548">
        <v>49829.86</v>
      </c>
      <c r="O124" s="548">
        <v>49829.86</v>
      </c>
      <c r="P124" s="548">
        <v>97509.55</v>
      </c>
      <c r="Q124" s="548">
        <v>97509.55</v>
      </c>
      <c r="R124" s="548">
        <v>140548.79999999999</v>
      </c>
      <c r="S124" s="556"/>
      <c r="T124" s="829">
        <v>185309.52</v>
      </c>
    </row>
    <row r="125" spans="1:22" x14ac:dyDescent="0.25">
      <c r="A125" s="687" t="s">
        <v>296</v>
      </c>
      <c r="B125" s="688" t="s">
        <v>1041</v>
      </c>
      <c r="C125" s="689">
        <v>2000</v>
      </c>
      <c r="D125" s="686">
        <v>2000</v>
      </c>
      <c r="E125" s="690">
        <v>1645</v>
      </c>
      <c r="F125" s="686">
        <v>2000</v>
      </c>
      <c r="G125" s="544"/>
      <c r="H125" s="546">
        <v>0</v>
      </c>
      <c r="I125" s="546">
        <v>0</v>
      </c>
      <c r="J125" s="548">
        <v>0</v>
      </c>
      <c r="K125" s="548">
        <v>0</v>
      </c>
      <c r="L125" s="548">
        <v>0</v>
      </c>
      <c r="M125" s="548">
        <v>508.77</v>
      </c>
      <c r="N125" s="548">
        <v>508.77</v>
      </c>
      <c r="O125" s="548">
        <v>508.77</v>
      </c>
      <c r="P125" s="548">
        <v>508.77</v>
      </c>
      <c r="Q125" s="548">
        <v>879.52</v>
      </c>
      <c r="R125" s="548">
        <v>879.52</v>
      </c>
      <c r="S125" s="548"/>
      <c r="T125" s="829">
        <v>1208.06</v>
      </c>
    </row>
    <row r="126" spans="1:22" x14ac:dyDescent="0.25">
      <c r="A126" s="687" t="s">
        <v>298</v>
      </c>
      <c r="B126" s="688" t="s">
        <v>1042</v>
      </c>
      <c r="C126" s="689">
        <v>2000</v>
      </c>
      <c r="D126" s="686">
        <v>2000</v>
      </c>
      <c r="E126" s="690">
        <v>0</v>
      </c>
      <c r="F126" s="686">
        <v>2000</v>
      </c>
      <c r="G126" s="544"/>
      <c r="H126" s="546">
        <v>0</v>
      </c>
      <c r="I126" s="546">
        <v>0</v>
      </c>
      <c r="J126" s="548">
        <v>0</v>
      </c>
      <c r="K126" s="548">
        <v>0</v>
      </c>
      <c r="L126" s="548">
        <v>0</v>
      </c>
      <c r="M126" s="548">
        <v>0</v>
      </c>
      <c r="N126" s="548">
        <v>0</v>
      </c>
      <c r="O126" s="548">
        <v>0</v>
      </c>
      <c r="P126" s="548">
        <v>0</v>
      </c>
      <c r="Q126" s="548">
        <v>0</v>
      </c>
      <c r="R126" s="548">
        <v>0</v>
      </c>
      <c r="S126" s="548"/>
      <c r="T126" s="829">
        <v>0</v>
      </c>
      <c r="U126" s="490"/>
    </row>
    <row r="127" spans="1:22" s="461" customFormat="1" x14ac:dyDescent="0.25">
      <c r="A127" s="549" t="s">
        <v>1043</v>
      </c>
      <c r="B127" s="550" t="s">
        <v>1044</v>
      </c>
      <c r="C127" s="551"/>
      <c r="D127" s="552"/>
      <c r="E127" s="579"/>
      <c r="F127" s="552"/>
      <c r="G127" s="552"/>
      <c r="H127" s="558"/>
      <c r="I127" s="558"/>
      <c r="J127" s="558"/>
      <c r="K127" s="559"/>
      <c r="L127" s="559"/>
      <c r="M127" s="559"/>
      <c r="N127" s="559"/>
      <c r="O127" s="558"/>
      <c r="P127" s="558"/>
      <c r="Q127" s="558"/>
      <c r="R127" s="580"/>
      <c r="S127" s="558"/>
      <c r="T127" s="834"/>
      <c r="U127" s="459"/>
      <c r="V127" s="460"/>
    </row>
    <row r="128" spans="1:22" x14ac:dyDescent="0.25">
      <c r="A128" s="687" t="s">
        <v>1045</v>
      </c>
      <c r="B128" s="688" t="s">
        <v>732</v>
      </c>
      <c r="C128" s="689">
        <v>2000</v>
      </c>
      <c r="D128" s="686">
        <v>2000</v>
      </c>
      <c r="E128" s="696">
        <v>2388.3000000000002</v>
      </c>
      <c r="F128" s="686">
        <v>500</v>
      </c>
      <c r="G128" s="544"/>
      <c r="H128" s="546">
        <v>0</v>
      </c>
      <c r="I128" s="546">
        <v>0</v>
      </c>
      <c r="J128" s="546">
        <v>0</v>
      </c>
      <c r="K128" s="548">
        <v>0</v>
      </c>
      <c r="L128" s="548">
        <v>0</v>
      </c>
      <c r="M128" s="548">
        <v>0</v>
      </c>
      <c r="N128" s="548">
        <v>0</v>
      </c>
      <c r="O128" s="546">
        <v>0</v>
      </c>
      <c r="P128" s="546">
        <v>0</v>
      </c>
      <c r="Q128" s="546">
        <v>0</v>
      </c>
      <c r="R128" s="567">
        <v>0</v>
      </c>
      <c r="S128" s="556"/>
      <c r="T128" s="835">
        <v>0</v>
      </c>
      <c r="U128" s="435">
        <v>1200</v>
      </c>
    </row>
    <row r="129" spans="1:25" x14ac:dyDescent="0.25">
      <c r="A129" s="687" t="s">
        <v>1046</v>
      </c>
      <c r="B129" s="688" t="s">
        <v>321</v>
      </c>
      <c r="C129" s="689">
        <v>500</v>
      </c>
      <c r="D129" s="686">
        <v>500</v>
      </c>
      <c r="E129" s="696">
        <v>0</v>
      </c>
      <c r="F129" s="686">
        <v>200</v>
      </c>
      <c r="G129" s="544"/>
      <c r="H129" s="546">
        <v>0</v>
      </c>
      <c r="I129" s="546">
        <v>0</v>
      </c>
      <c r="J129" s="546">
        <v>0</v>
      </c>
      <c r="K129" s="548">
        <v>0</v>
      </c>
      <c r="L129" s="548">
        <v>0</v>
      </c>
      <c r="M129" s="548">
        <v>0</v>
      </c>
      <c r="N129" s="548">
        <v>0</v>
      </c>
      <c r="O129" s="546">
        <v>0</v>
      </c>
      <c r="P129" s="546">
        <v>0</v>
      </c>
      <c r="Q129" s="546">
        <v>0</v>
      </c>
      <c r="R129" s="567">
        <v>0</v>
      </c>
      <c r="S129" s="546"/>
      <c r="T129" s="835">
        <v>0</v>
      </c>
      <c r="U129" s="435" t="s">
        <v>336</v>
      </c>
      <c r="Y129" s="620">
        <f>F128+F129+F130+F134+F156+F164+F165+F173</f>
        <v>13500</v>
      </c>
    </row>
    <row r="130" spans="1:25" x14ac:dyDescent="0.25">
      <c r="A130" s="687" t="s">
        <v>1047</v>
      </c>
      <c r="B130" s="688" t="s">
        <v>1048</v>
      </c>
      <c r="C130" s="689">
        <v>18000</v>
      </c>
      <c r="D130" s="686">
        <v>18000</v>
      </c>
      <c r="E130" s="696">
        <v>17625</v>
      </c>
      <c r="F130" s="686">
        <v>500</v>
      </c>
      <c r="G130" s="544"/>
      <c r="H130" s="546">
        <v>0</v>
      </c>
      <c r="I130" s="546">
        <v>0</v>
      </c>
      <c r="J130" s="546">
        <v>480</v>
      </c>
      <c r="K130" s="548">
        <v>480</v>
      </c>
      <c r="L130" s="548">
        <v>480</v>
      </c>
      <c r="M130" s="548">
        <v>480</v>
      </c>
      <c r="N130" s="548">
        <v>480</v>
      </c>
      <c r="O130" s="546">
        <v>480</v>
      </c>
      <c r="P130" s="546">
        <v>480</v>
      </c>
      <c r="Q130" s="546">
        <v>480</v>
      </c>
      <c r="R130" s="567">
        <v>480</v>
      </c>
      <c r="S130" s="546"/>
      <c r="T130" s="835">
        <v>480</v>
      </c>
    </row>
    <row r="131" spans="1:25" s="461" customFormat="1" x14ac:dyDescent="0.25">
      <c r="A131" s="549" t="s">
        <v>1049</v>
      </c>
      <c r="B131" s="550" t="s">
        <v>1050</v>
      </c>
      <c r="C131" s="551"/>
      <c r="D131" s="552"/>
      <c r="E131" s="566"/>
      <c r="F131" s="552"/>
      <c r="G131" s="552"/>
      <c r="H131" s="558"/>
      <c r="I131" s="558"/>
      <c r="J131" s="558"/>
      <c r="K131" s="559"/>
      <c r="L131" s="559"/>
      <c r="M131" s="559"/>
      <c r="N131" s="559"/>
      <c r="O131" s="558"/>
      <c r="P131" s="558"/>
      <c r="Q131" s="558"/>
      <c r="R131" s="580"/>
      <c r="S131" s="558"/>
      <c r="T131" s="833"/>
      <c r="U131" s="459"/>
      <c r="V131" s="460"/>
    </row>
    <row r="132" spans="1:25" x14ac:dyDescent="0.25">
      <c r="A132" s="700" t="s">
        <v>1051</v>
      </c>
      <c r="B132" s="701" t="s">
        <v>1052</v>
      </c>
      <c r="C132" s="689">
        <v>300</v>
      </c>
      <c r="D132" s="686">
        <v>300</v>
      </c>
      <c r="E132" s="696">
        <v>0</v>
      </c>
      <c r="F132" s="686">
        <v>500</v>
      </c>
      <c r="G132" s="544"/>
      <c r="H132" s="546">
        <v>0</v>
      </c>
      <c r="I132" s="546">
        <v>0</v>
      </c>
      <c r="J132" s="546">
        <v>0</v>
      </c>
      <c r="K132" s="548">
        <v>0</v>
      </c>
      <c r="L132" s="548">
        <v>0</v>
      </c>
      <c r="M132" s="548">
        <v>0</v>
      </c>
      <c r="N132" s="548">
        <v>0</v>
      </c>
      <c r="O132" s="546">
        <v>0</v>
      </c>
      <c r="P132" s="546">
        <v>0</v>
      </c>
      <c r="Q132" s="546">
        <v>0</v>
      </c>
      <c r="R132" s="567">
        <v>0</v>
      </c>
      <c r="S132" s="546"/>
      <c r="T132" s="835">
        <v>0</v>
      </c>
    </row>
    <row r="133" spans="1:25" x14ac:dyDescent="0.25">
      <c r="A133" s="700" t="s">
        <v>1053</v>
      </c>
      <c r="B133" s="701" t="s">
        <v>1054</v>
      </c>
      <c r="C133" s="543">
        <v>1000</v>
      </c>
      <c r="D133" s="544">
        <v>1000</v>
      </c>
      <c r="E133" s="545">
        <v>0</v>
      </c>
      <c r="F133" s="686">
        <v>500</v>
      </c>
      <c r="G133" s="544"/>
      <c r="H133" s="546">
        <v>0</v>
      </c>
      <c r="I133" s="546">
        <v>0</v>
      </c>
      <c r="J133" s="546">
        <v>0</v>
      </c>
      <c r="K133" s="548">
        <v>0</v>
      </c>
      <c r="L133" s="548">
        <v>0</v>
      </c>
      <c r="M133" s="548">
        <v>0</v>
      </c>
      <c r="N133" s="548">
        <v>0</v>
      </c>
      <c r="O133" s="546">
        <v>0</v>
      </c>
      <c r="P133" s="546">
        <v>0</v>
      </c>
      <c r="Q133" s="546">
        <v>0</v>
      </c>
      <c r="R133" s="567">
        <v>0</v>
      </c>
      <c r="S133" s="546"/>
      <c r="T133" s="835">
        <v>0</v>
      </c>
    </row>
    <row r="134" spans="1:25" x14ac:dyDescent="0.25">
      <c r="A134" s="700" t="s">
        <v>1055</v>
      </c>
      <c r="B134" s="701" t="s">
        <v>1056</v>
      </c>
      <c r="C134" s="689">
        <v>200</v>
      </c>
      <c r="D134" s="686">
        <v>200</v>
      </c>
      <c r="E134" s="696">
        <v>0</v>
      </c>
      <c r="F134" s="686">
        <v>800</v>
      </c>
      <c r="G134" s="544"/>
      <c r="H134" s="546">
        <v>0</v>
      </c>
      <c r="I134" s="546">
        <v>0</v>
      </c>
      <c r="J134" s="546">
        <v>0</v>
      </c>
      <c r="K134" s="548">
        <v>0</v>
      </c>
      <c r="L134" s="548">
        <v>0</v>
      </c>
      <c r="M134" s="548">
        <v>0</v>
      </c>
      <c r="N134" s="548">
        <v>0</v>
      </c>
      <c r="O134" s="546">
        <v>0</v>
      </c>
      <c r="P134" s="546">
        <v>0</v>
      </c>
      <c r="Q134" s="546">
        <v>0</v>
      </c>
      <c r="R134" s="567">
        <v>0</v>
      </c>
      <c r="S134" s="546"/>
      <c r="T134" s="835">
        <v>0</v>
      </c>
    </row>
    <row r="135" spans="1:25" x14ac:dyDescent="0.25">
      <c r="A135" s="700" t="s">
        <v>1057</v>
      </c>
      <c r="B135" s="701" t="s">
        <v>1058</v>
      </c>
      <c r="C135" s="689">
        <v>200</v>
      </c>
      <c r="D135" s="686">
        <v>200</v>
      </c>
      <c r="E135" s="696">
        <v>0</v>
      </c>
      <c r="F135" s="686">
        <v>100</v>
      </c>
      <c r="G135" s="544"/>
      <c r="H135" s="546">
        <v>0</v>
      </c>
      <c r="I135" s="546">
        <v>0</v>
      </c>
      <c r="J135" s="546">
        <v>0</v>
      </c>
      <c r="K135" s="548">
        <v>0</v>
      </c>
      <c r="L135" s="548">
        <v>0</v>
      </c>
      <c r="M135" s="548">
        <v>0</v>
      </c>
      <c r="N135" s="548">
        <v>0</v>
      </c>
      <c r="O135" s="546">
        <v>0</v>
      </c>
      <c r="P135" s="546">
        <v>0</v>
      </c>
      <c r="Q135" s="546">
        <v>0</v>
      </c>
      <c r="R135" s="567">
        <v>0</v>
      </c>
      <c r="S135" s="546"/>
      <c r="T135" s="835">
        <v>0</v>
      </c>
    </row>
    <row r="136" spans="1:25" x14ac:dyDescent="0.25">
      <c r="A136" s="713" t="s">
        <v>930</v>
      </c>
      <c r="B136" s="714" t="s">
        <v>1059</v>
      </c>
      <c r="C136" s="689"/>
      <c r="D136" s="686"/>
      <c r="E136" s="696"/>
      <c r="F136" s="686"/>
      <c r="G136" s="544"/>
      <c r="H136" s="546"/>
      <c r="I136" s="546"/>
      <c r="J136" s="546"/>
      <c r="K136" s="548"/>
      <c r="L136" s="548"/>
      <c r="M136" s="548"/>
      <c r="N136" s="548"/>
      <c r="O136" s="546"/>
      <c r="P136" s="546"/>
      <c r="Q136" s="546"/>
      <c r="R136" s="567"/>
      <c r="S136" s="546"/>
      <c r="T136" s="835"/>
    </row>
    <row r="137" spans="1:25" s="461" customFormat="1" x14ac:dyDescent="0.25">
      <c r="A137" s="549" t="s">
        <v>1060</v>
      </c>
      <c r="B137" s="550" t="s">
        <v>1061</v>
      </c>
      <c r="C137" s="551"/>
      <c r="D137" s="552"/>
      <c r="E137" s="566"/>
      <c r="F137" s="552"/>
      <c r="G137" s="552"/>
      <c r="H137" s="558"/>
      <c r="I137" s="558"/>
      <c r="J137" s="559"/>
      <c r="K137" s="559"/>
      <c r="L137" s="559"/>
      <c r="M137" s="559"/>
      <c r="N137" s="559"/>
      <c r="O137" s="558"/>
      <c r="P137" s="558"/>
      <c r="Q137" s="558"/>
      <c r="R137" s="580"/>
      <c r="S137" s="558"/>
      <c r="T137" s="833"/>
      <c r="U137" s="459"/>
      <c r="V137" s="460"/>
    </row>
    <row r="138" spans="1:25" s="461" customFormat="1" x14ac:dyDescent="0.25">
      <c r="A138" s="720" t="s">
        <v>1062</v>
      </c>
      <c r="B138" s="721" t="s">
        <v>1063</v>
      </c>
      <c r="C138" s="689"/>
      <c r="D138" s="686"/>
      <c r="E138" s="722"/>
      <c r="F138" s="686"/>
      <c r="G138" s="552"/>
      <c r="H138" s="558"/>
      <c r="I138" s="558"/>
      <c r="J138" s="559"/>
      <c r="K138" s="559"/>
      <c r="L138" s="559"/>
      <c r="M138" s="559"/>
      <c r="N138" s="559"/>
      <c r="O138" s="558"/>
      <c r="P138" s="558"/>
      <c r="Q138" s="558"/>
      <c r="R138" s="580"/>
      <c r="S138" s="558"/>
      <c r="T138" s="833"/>
      <c r="U138" s="459"/>
      <c r="V138" s="460"/>
    </row>
    <row r="139" spans="1:25" x14ac:dyDescent="0.25">
      <c r="A139" s="687" t="s">
        <v>449</v>
      </c>
      <c r="B139" s="688" t="s">
        <v>450</v>
      </c>
      <c r="C139" s="689">
        <v>6400</v>
      </c>
      <c r="D139" s="686">
        <v>6400</v>
      </c>
      <c r="E139" s="695">
        <v>9658.67</v>
      </c>
      <c r="F139" s="686">
        <v>800</v>
      </c>
      <c r="G139" s="544"/>
      <c r="H139" s="546">
        <v>800</v>
      </c>
      <c r="I139" s="546">
        <v>800</v>
      </c>
      <c r="J139" s="548">
        <v>800</v>
      </c>
      <c r="K139" s="548">
        <v>800</v>
      </c>
      <c r="L139" s="548">
        <v>800</v>
      </c>
      <c r="M139" s="548">
        <v>800</v>
      </c>
      <c r="N139" s="548">
        <v>800</v>
      </c>
      <c r="O139" s="548">
        <v>800</v>
      </c>
      <c r="P139" s="548">
        <v>800</v>
      </c>
      <c r="Q139" s="548">
        <v>800</v>
      </c>
      <c r="R139" s="548">
        <v>800</v>
      </c>
      <c r="S139" s="556"/>
      <c r="T139" s="829">
        <v>800</v>
      </c>
    </row>
    <row r="140" spans="1:25" x14ac:dyDescent="0.25">
      <c r="A140" s="687" t="s">
        <v>452</v>
      </c>
      <c r="B140" s="688" t="s">
        <v>453</v>
      </c>
      <c r="C140" s="689">
        <v>4000</v>
      </c>
      <c r="D140" s="686">
        <v>4000</v>
      </c>
      <c r="E140" s="690">
        <v>1915</v>
      </c>
      <c r="F140" s="686">
        <v>500</v>
      </c>
      <c r="G140" s="544"/>
      <c r="H140" s="546">
        <v>290</v>
      </c>
      <c r="I140" s="546">
        <v>535</v>
      </c>
      <c r="J140" s="548">
        <v>535</v>
      </c>
      <c r="K140" s="548">
        <v>555</v>
      </c>
      <c r="L140" s="556">
        <v>555</v>
      </c>
      <c r="M140" s="556">
        <v>555</v>
      </c>
      <c r="N140" s="556">
        <v>555</v>
      </c>
      <c r="O140" s="556">
        <v>555</v>
      </c>
      <c r="P140" s="556">
        <v>555</v>
      </c>
      <c r="Q140" s="556">
        <v>575</v>
      </c>
      <c r="R140" s="556">
        <v>575</v>
      </c>
      <c r="S140" s="548"/>
      <c r="T140" s="828">
        <v>595</v>
      </c>
    </row>
    <row r="141" spans="1:25" s="467" customFormat="1" x14ac:dyDescent="0.25">
      <c r="A141" s="720" t="s">
        <v>1064</v>
      </c>
      <c r="B141" s="721" t="s">
        <v>1065</v>
      </c>
      <c r="C141" s="689"/>
      <c r="D141" s="686"/>
      <c r="E141" s="723"/>
      <c r="F141" s="686"/>
      <c r="G141" s="552"/>
      <c r="H141" s="558"/>
      <c r="I141" s="558"/>
      <c r="J141" s="559"/>
      <c r="K141" s="581"/>
      <c r="L141" s="581"/>
      <c r="M141" s="559"/>
      <c r="N141" s="559"/>
      <c r="O141" s="559"/>
      <c r="P141" s="559"/>
      <c r="Q141" s="559"/>
      <c r="R141" s="555"/>
      <c r="S141" s="555"/>
      <c r="T141" s="831"/>
      <c r="U141" s="466"/>
      <c r="V141" s="460"/>
    </row>
    <row r="142" spans="1:25" x14ac:dyDescent="0.25">
      <c r="A142" s="687" t="s">
        <v>455</v>
      </c>
      <c r="B142" s="688" t="s">
        <v>1066</v>
      </c>
      <c r="C142" s="689">
        <v>8000</v>
      </c>
      <c r="D142" s="686">
        <v>8000</v>
      </c>
      <c r="E142" s="690">
        <v>586.5</v>
      </c>
      <c r="F142" s="686">
        <v>300</v>
      </c>
      <c r="G142" s="544"/>
      <c r="H142" s="546">
        <v>233.05</v>
      </c>
      <c r="I142" s="556">
        <v>504.35</v>
      </c>
      <c r="J142" s="556">
        <v>504.35</v>
      </c>
      <c r="K142" s="556">
        <v>504.35</v>
      </c>
      <c r="L142" s="556">
        <v>504.35</v>
      </c>
      <c r="M142" s="556">
        <v>504.35</v>
      </c>
      <c r="N142" s="556">
        <v>504.35</v>
      </c>
      <c r="O142" s="556">
        <v>504.35</v>
      </c>
      <c r="P142" s="556">
        <v>504.35</v>
      </c>
      <c r="Q142" s="556">
        <v>504.35</v>
      </c>
      <c r="R142" s="556">
        <v>504.35</v>
      </c>
      <c r="S142" s="548"/>
      <c r="T142" s="828">
        <v>504.35</v>
      </c>
    </row>
    <row r="143" spans="1:25" x14ac:dyDescent="0.25">
      <c r="A143" s="687" t="s">
        <v>458</v>
      </c>
      <c r="B143" s="688" t="s">
        <v>1067</v>
      </c>
      <c r="C143" s="689">
        <v>16000</v>
      </c>
      <c r="D143" s="686">
        <v>22000</v>
      </c>
      <c r="E143" s="690">
        <v>16585.28</v>
      </c>
      <c r="F143" s="686">
        <v>0</v>
      </c>
      <c r="G143" s="544"/>
      <c r="H143" s="546">
        <v>0</v>
      </c>
      <c r="I143" s="556">
        <v>0</v>
      </c>
      <c r="J143" s="556">
        <v>8062.25</v>
      </c>
      <c r="K143" s="556">
        <v>8062.25</v>
      </c>
      <c r="L143" s="556">
        <v>8062.25</v>
      </c>
      <c r="M143" s="556">
        <v>8062.25</v>
      </c>
      <c r="N143" s="556">
        <v>8062.25</v>
      </c>
      <c r="O143" s="556">
        <v>8062.25</v>
      </c>
      <c r="P143" s="556">
        <v>8062.25</v>
      </c>
      <c r="Q143" s="556">
        <v>8062.25</v>
      </c>
      <c r="R143" s="548">
        <v>8062.25</v>
      </c>
      <c r="S143" s="548"/>
      <c r="T143" s="829">
        <v>8062.25</v>
      </c>
    </row>
    <row r="144" spans="1:25" x14ac:dyDescent="0.25">
      <c r="A144" s="687" t="s">
        <v>1068</v>
      </c>
      <c r="B144" s="688" t="s">
        <v>1069</v>
      </c>
      <c r="C144" s="689">
        <v>5000</v>
      </c>
      <c r="D144" s="686">
        <v>5000</v>
      </c>
      <c r="E144" s="690">
        <v>24</v>
      </c>
      <c r="F144" s="686">
        <v>100</v>
      </c>
      <c r="G144" s="544"/>
      <c r="H144" s="556">
        <v>312</v>
      </c>
      <c r="I144" s="556">
        <v>312</v>
      </c>
      <c r="J144" s="556">
        <v>312</v>
      </c>
      <c r="K144" s="556">
        <v>312</v>
      </c>
      <c r="L144" s="556">
        <v>312</v>
      </c>
      <c r="M144" s="556">
        <v>312</v>
      </c>
      <c r="N144" s="556">
        <v>312</v>
      </c>
      <c r="O144" s="556">
        <v>312</v>
      </c>
      <c r="P144" s="556">
        <v>312</v>
      </c>
      <c r="Q144" s="556">
        <v>312</v>
      </c>
      <c r="R144" s="556">
        <v>312</v>
      </c>
      <c r="S144" s="548"/>
      <c r="T144" s="828">
        <v>312</v>
      </c>
    </row>
    <row r="145" spans="1:24" s="467" customFormat="1" x14ac:dyDescent="0.25">
      <c r="A145" s="720" t="s">
        <v>1070</v>
      </c>
      <c r="B145" s="721" t="s">
        <v>1071</v>
      </c>
      <c r="C145" s="689"/>
      <c r="D145" s="686"/>
      <c r="E145" s="723"/>
      <c r="F145" s="686"/>
      <c r="G145" s="552"/>
      <c r="H145" s="558"/>
      <c r="I145" s="558"/>
      <c r="J145" s="559"/>
      <c r="K145" s="559"/>
      <c r="L145" s="559"/>
      <c r="M145" s="559"/>
      <c r="N145" s="559"/>
      <c r="O145" s="559"/>
      <c r="P145" s="559"/>
      <c r="Q145" s="559"/>
      <c r="R145" s="559"/>
      <c r="S145" s="559"/>
      <c r="T145" s="831"/>
      <c r="U145" s="466"/>
      <c r="V145" s="460"/>
    </row>
    <row r="146" spans="1:24" x14ac:dyDescent="0.25">
      <c r="A146" s="687" t="s">
        <v>467</v>
      </c>
      <c r="B146" s="688" t="s">
        <v>1072</v>
      </c>
      <c r="C146" s="689">
        <v>45000</v>
      </c>
      <c r="D146" s="686">
        <v>45000</v>
      </c>
      <c r="E146" s="696">
        <v>70420.3</v>
      </c>
      <c r="F146" s="686">
        <v>0</v>
      </c>
      <c r="G146" s="544"/>
      <c r="H146" s="546">
        <v>0</v>
      </c>
      <c r="I146" s="548">
        <v>0</v>
      </c>
      <c r="J146" s="548">
        <v>0</v>
      </c>
      <c r="K146" s="548">
        <v>0</v>
      </c>
      <c r="L146" s="548">
        <v>0</v>
      </c>
      <c r="M146" s="548">
        <v>0</v>
      </c>
      <c r="N146" s="548">
        <v>0</v>
      </c>
      <c r="O146" s="548">
        <v>0</v>
      </c>
      <c r="P146" s="546">
        <v>0</v>
      </c>
      <c r="Q146" s="546">
        <v>0</v>
      </c>
      <c r="R146" s="546">
        <v>0</v>
      </c>
      <c r="S146" s="546"/>
      <c r="T146" s="835">
        <v>0</v>
      </c>
    </row>
    <row r="147" spans="1:24" x14ac:dyDescent="0.25">
      <c r="A147" s="687" t="s">
        <v>464</v>
      </c>
      <c r="B147" s="688" t="s">
        <v>1073</v>
      </c>
      <c r="C147" s="689">
        <v>35000</v>
      </c>
      <c r="D147" s="686">
        <v>35000</v>
      </c>
      <c r="E147" s="696">
        <v>51979.53</v>
      </c>
      <c r="F147" s="686">
        <v>0</v>
      </c>
      <c r="G147" s="544"/>
      <c r="H147" s="546">
        <v>0</v>
      </c>
      <c r="I147" s="548">
        <v>0</v>
      </c>
      <c r="J147" s="548">
        <v>0</v>
      </c>
      <c r="K147" s="548">
        <v>0</v>
      </c>
      <c r="L147" s="548">
        <v>0</v>
      </c>
      <c r="M147" s="548">
        <v>0</v>
      </c>
      <c r="N147" s="548">
        <v>0</v>
      </c>
      <c r="O147" s="548">
        <v>0</v>
      </c>
      <c r="P147" s="546">
        <v>0</v>
      </c>
      <c r="Q147" s="546">
        <v>0</v>
      </c>
      <c r="R147" s="546">
        <v>0</v>
      </c>
      <c r="S147" s="546"/>
      <c r="T147" s="835">
        <v>0</v>
      </c>
    </row>
    <row r="148" spans="1:24" x14ac:dyDescent="0.25">
      <c r="A148" s="687" t="s">
        <v>1074</v>
      </c>
      <c r="B148" s="688" t="s">
        <v>474</v>
      </c>
      <c r="C148" s="689">
        <v>50000</v>
      </c>
      <c r="D148" s="686">
        <v>50000</v>
      </c>
      <c r="E148" s="696">
        <v>14533.08</v>
      </c>
      <c r="F148" s="686">
        <v>0</v>
      </c>
      <c r="G148" s="544"/>
      <c r="H148" s="556">
        <v>29218</v>
      </c>
      <c r="I148" s="556">
        <v>29218</v>
      </c>
      <c r="J148" s="556">
        <v>29218</v>
      </c>
      <c r="K148" s="556">
        <v>29218</v>
      </c>
      <c r="L148" s="556">
        <v>29218</v>
      </c>
      <c r="M148" s="556">
        <v>29218</v>
      </c>
      <c r="N148" s="556">
        <v>29218</v>
      </c>
      <c r="O148" s="556">
        <v>29218</v>
      </c>
      <c r="P148" s="556">
        <v>29218</v>
      </c>
      <c r="Q148" s="556">
        <v>29218</v>
      </c>
      <c r="R148" s="556">
        <v>29218</v>
      </c>
      <c r="S148" s="546"/>
      <c r="T148" s="828">
        <v>29218</v>
      </c>
    </row>
    <row r="149" spans="1:24" x14ac:dyDescent="0.25">
      <c r="A149" s="687" t="s">
        <v>470</v>
      </c>
      <c r="B149" s="688" t="s">
        <v>471</v>
      </c>
      <c r="C149" s="689">
        <v>25000</v>
      </c>
      <c r="D149" s="686">
        <v>15000</v>
      </c>
      <c r="E149" s="696">
        <v>0</v>
      </c>
      <c r="F149" s="686">
        <v>0</v>
      </c>
      <c r="G149" s="544"/>
      <c r="H149" s="556">
        <v>19.95</v>
      </c>
      <c r="I149" s="556">
        <v>19.95</v>
      </c>
      <c r="J149" s="556">
        <v>19.95</v>
      </c>
      <c r="K149" s="556">
        <v>19.95</v>
      </c>
      <c r="L149" s="556">
        <v>19.95</v>
      </c>
      <c r="M149" s="556">
        <v>19.95</v>
      </c>
      <c r="N149" s="556">
        <v>19.95</v>
      </c>
      <c r="O149" s="556">
        <v>19.95</v>
      </c>
      <c r="P149" s="556">
        <v>19.95</v>
      </c>
      <c r="Q149" s="556">
        <v>19.95</v>
      </c>
      <c r="R149" s="556">
        <v>19.95</v>
      </c>
      <c r="S149" s="546"/>
      <c r="T149" s="828">
        <v>19.95</v>
      </c>
    </row>
    <row r="150" spans="1:24" s="461" customFormat="1" x14ac:dyDescent="0.25">
      <c r="A150" s="549" t="s">
        <v>1075</v>
      </c>
      <c r="B150" s="550" t="s">
        <v>1076</v>
      </c>
      <c r="C150" s="551"/>
      <c r="D150" s="552"/>
      <c r="E150" s="566"/>
      <c r="F150" s="552"/>
      <c r="G150" s="552"/>
      <c r="H150" s="558"/>
      <c r="I150" s="558"/>
      <c r="J150" s="558"/>
      <c r="K150" s="558"/>
      <c r="L150" s="558"/>
      <c r="M150" s="558"/>
      <c r="N150" s="558"/>
      <c r="O150" s="558"/>
      <c r="P150" s="558"/>
      <c r="Q150" s="558"/>
      <c r="R150" s="558"/>
      <c r="S150" s="558"/>
      <c r="T150" s="833"/>
      <c r="U150" s="459"/>
      <c r="V150" s="460"/>
    </row>
    <row r="151" spans="1:24" x14ac:dyDescent="0.25">
      <c r="A151" s="687" t="s">
        <v>1077</v>
      </c>
      <c r="B151" s="688" t="s">
        <v>1078</v>
      </c>
      <c r="C151" s="543">
        <v>500</v>
      </c>
      <c r="D151" s="544">
        <v>500</v>
      </c>
      <c r="E151" s="547">
        <v>40</v>
      </c>
      <c r="F151" s="686">
        <v>250</v>
      </c>
      <c r="G151" s="544"/>
      <c r="H151" s="548">
        <v>0</v>
      </c>
      <c r="I151" s="548">
        <v>0</v>
      </c>
      <c r="J151" s="548">
        <v>0</v>
      </c>
      <c r="K151" s="548">
        <v>40</v>
      </c>
      <c r="L151" s="548">
        <v>40</v>
      </c>
      <c r="M151" s="548">
        <v>40</v>
      </c>
      <c r="N151" s="548">
        <v>40</v>
      </c>
      <c r="O151" s="548">
        <v>40</v>
      </c>
      <c r="P151" s="548">
        <v>40</v>
      </c>
      <c r="Q151" s="548">
        <v>40</v>
      </c>
      <c r="R151" s="548">
        <v>40</v>
      </c>
      <c r="S151" s="548"/>
      <c r="T151" s="829">
        <v>40</v>
      </c>
    </row>
    <row r="152" spans="1:24" x14ac:dyDescent="0.25">
      <c r="A152" s="687" t="s">
        <v>1079</v>
      </c>
      <c r="B152" s="688" t="s">
        <v>1080</v>
      </c>
      <c r="C152" s="543">
        <v>1500</v>
      </c>
      <c r="D152" s="544">
        <v>1500</v>
      </c>
      <c r="E152" s="547">
        <v>213.6</v>
      </c>
      <c r="F152" s="686">
        <v>1000</v>
      </c>
      <c r="G152" s="544"/>
      <c r="H152" s="548">
        <v>0</v>
      </c>
      <c r="I152" s="548">
        <v>0</v>
      </c>
      <c r="J152" s="548">
        <v>0</v>
      </c>
      <c r="K152" s="548">
        <v>130.19999999999999</v>
      </c>
      <c r="L152" s="548">
        <v>130.19999999999999</v>
      </c>
      <c r="M152" s="548">
        <v>130.19999999999999</v>
      </c>
      <c r="N152" s="548">
        <v>130.19999999999999</v>
      </c>
      <c r="O152" s="548">
        <v>130.19999999999999</v>
      </c>
      <c r="P152" s="548">
        <v>130.19999999999999</v>
      </c>
      <c r="Q152" s="548">
        <v>130.19999999999999</v>
      </c>
      <c r="R152" s="548">
        <v>130.19999999999999</v>
      </c>
      <c r="S152" s="548"/>
      <c r="T152" s="829">
        <v>130.19999999999999</v>
      </c>
    </row>
    <row r="153" spans="1:24" x14ac:dyDescent="0.25">
      <c r="A153" s="687" t="s">
        <v>1081</v>
      </c>
      <c r="B153" s="688" t="s">
        <v>1082</v>
      </c>
      <c r="C153" s="689">
        <v>7000</v>
      </c>
      <c r="D153" s="686">
        <v>7000</v>
      </c>
      <c r="E153" s="690">
        <v>6167.2</v>
      </c>
      <c r="F153" s="686">
        <v>5000</v>
      </c>
      <c r="G153" s="544"/>
      <c r="H153" s="548">
        <v>1617.2</v>
      </c>
      <c r="I153" s="548">
        <v>3282.2</v>
      </c>
      <c r="J153" s="548">
        <v>4327.2</v>
      </c>
      <c r="K153" s="548">
        <v>4327.2</v>
      </c>
      <c r="L153" s="548">
        <v>4327.2</v>
      </c>
      <c r="M153" s="548">
        <v>4327.2</v>
      </c>
      <c r="N153" s="548">
        <v>4327.2</v>
      </c>
      <c r="O153" s="548">
        <v>4327.2</v>
      </c>
      <c r="P153" s="548">
        <v>4327.2</v>
      </c>
      <c r="Q153" s="548">
        <v>4462.2</v>
      </c>
      <c r="R153" s="548">
        <v>4462.2</v>
      </c>
      <c r="S153" s="548"/>
      <c r="T153" s="829">
        <v>4462.2</v>
      </c>
    </row>
    <row r="154" spans="1:24" x14ac:dyDescent="0.25">
      <c r="A154" s="687" t="s">
        <v>1083</v>
      </c>
      <c r="B154" s="688" t="s">
        <v>1084</v>
      </c>
      <c r="C154" s="689">
        <v>3000</v>
      </c>
      <c r="D154" s="686">
        <v>3000</v>
      </c>
      <c r="E154" s="690">
        <v>456.13</v>
      </c>
      <c r="F154" s="686">
        <v>500</v>
      </c>
      <c r="G154" s="544"/>
      <c r="H154" s="548">
        <v>39</v>
      </c>
      <c r="I154" s="548">
        <v>78</v>
      </c>
      <c r="J154" s="548">
        <v>117</v>
      </c>
      <c r="K154" s="548">
        <v>156</v>
      </c>
      <c r="L154" s="548">
        <v>195</v>
      </c>
      <c r="M154" s="548">
        <v>234</v>
      </c>
      <c r="N154" s="548">
        <v>234</v>
      </c>
      <c r="O154" s="548">
        <v>273</v>
      </c>
      <c r="P154" s="548">
        <v>312</v>
      </c>
      <c r="Q154" s="548">
        <v>351</v>
      </c>
      <c r="R154" s="548">
        <v>390</v>
      </c>
      <c r="S154" s="548"/>
      <c r="T154" s="829">
        <v>468</v>
      </c>
      <c r="U154" s="490" t="s">
        <v>339</v>
      </c>
      <c r="X154" s="620">
        <f>F132+F154+F155+F162+F163+F174</f>
        <v>22000</v>
      </c>
    </row>
    <row r="155" spans="1:24" x14ac:dyDescent="0.25">
      <c r="A155" s="687" t="s">
        <v>1085</v>
      </c>
      <c r="B155" s="688" t="s">
        <v>1086</v>
      </c>
      <c r="C155" s="689">
        <v>10000</v>
      </c>
      <c r="D155" s="686">
        <v>5000</v>
      </c>
      <c r="E155" s="690">
        <v>0</v>
      </c>
      <c r="F155" s="686">
        <v>1500</v>
      </c>
      <c r="G155" s="544"/>
      <c r="H155" s="548">
        <v>0</v>
      </c>
      <c r="I155" s="548">
        <v>0</v>
      </c>
      <c r="J155" s="548">
        <v>0</v>
      </c>
      <c r="K155" s="548">
        <v>0</v>
      </c>
      <c r="L155" s="548">
        <v>0</v>
      </c>
      <c r="M155" s="548">
        <v>0</v>
      </c>
      <c r="N155" s="548">
        <v>0</v>
      </c>
      <c r="O155" s="548">
        <v>0</v>
      </c>
      <c r="P155" s="548">
        <v>0</v>
      </c>
      <c r="Q155" s="548">
        <v>0</v>
      </c>
      <c r="R155" s="548">
        <v>0</v>
      </c>
      <c r="S155" s="548"/>
      <c r="T155" s="829">
        <v>0</v>
      </c>
      <c r="U155" s="490"/>
    </row>
    <row r="156" spans="1:24" x14ac:dyDescent="0.25">
      <c r="A156" s="687" t="s">
        <v>1087</v>
      </c>
      <c r="B156" s="688" t="s">
        <v>1088</v>
      </c>
      <c r="C156" s="689">
        <v>5000</v>
      </c>
      <c r="D156" s="686">
        <v>5000</v>
      </c>
      <c r="E156" s="690">
        <v>0</v>
      </c>
      <c r="F156" s="686">
        <v>500</v>
      </c>
      <c r="G156" s="544"/>
      <c r="H156" s="548">
        <v>0</v>
      </c>
      <c r="I156" s="548">
        <v>0</v>
      </c>
      <c r="J156" s="548">
        <v>0</v>
      </c>
      <c r="K156" s="548">
        <v>0</v>
      </c>
      <c r="L156" s="548">
        <v>0</v>
      </c>
      <c r="M156" s="548">
        <v>0</v>
      </c>
      <c r="N156" s="548">
        <v>0</v>
      </c>
      <c r="O156" s="548">
        <v>0</v>
      </c>
      <c r="P156" s="548">
        <v>0</v>
      </c>
      <c r="Q156" s="548">
        <v>0</v>
      </c>
      <c r="R156" s="548">
        <v>0</v>
      </c>
      <c r="S156" s="548"/>
      <c r="T156" s="829">
        <v>0</v>
      </c>
      <c r="U156" s="490"/>
    </row>
    <row r="157" spans="1:24" x14ac:dyDescent="0.25">
      <c r="A157" s="724" t="s">
        <v>1089</v>
      </c>
      <c r="B157" s="688" t="s">
        <v>1090</v>
      </c>
      <c r="C157" s="689"/>
      <c r="D157" s="686"/>
      <c r="E157" s="723"/>
      <c r="F157" s="686"/>
      <c r="G157" s="552"/>
      <c r="H157" s="554"/>
      <c r="I157" s="582"/>
      <c r="J157" s="582"/>
      <c r="K157" s="582"/>
      <c r="L157" s="582"/>
      <c r="M157" s="555"/>
      <c r="N157" s="555"/>
      <c r="O157" s="555"/>
      <c r="P157" s="559"/>
      <c r="Q157" s="559"/>
      <c r="R157" s="559"/>
      <c r="S157" s="559"/>
      <c r="T157" s="831"/>
      <c r="U157" s="490"/>
    </row>
    <row r="158" spans="1:24" s="467" customFormat="1" x14ac:dyDescent="0.25">
      <c r="A158" s="549" t="s">
        <v>1091</v>
      </c>
      <c r="B158" s="550" t="s">
        <v>1092</v>
      </c>
      <c r="C158" s="551"/>
      <c r="D158" s="552"/>
      <c r="E158" s="566"/>
      <c r="F158" s="552"/>
      <c r="G158" s="552"/>
      <c r="H158" s="558"/>
      <c r="I158" s="558"/>
      <c r="J158" s="558"/>
      <c r="K158" s="558"/>
      <c r="L158" s="558"/>
      <c r="M158" s="558"/>
      <c r="N158" s="558"/>
      <c r="O158" s="558"/>
      <c r="P158" s="558"/>
      <c r="Q158" s="558"/>
      <c r="R158" s="558"/>
      <c r="S158" s="558"/>
      <c r="T158" s="833"/>
      <c r="U158" s="466"/>
      <c r="V158" s="460"/>
    </row>
    <row r="159" spans="1:24" x14ac:dyDescent="0.25">
      <c r="A159" s="687" t="s">
        <v>1093</v>
      </c>
      <c r="B159" s="688" t="s">
        <v>1094</v>
      </c>
      <c r="C159" s="543">
        <v>500</v>
      </c>
      <c r="D159" s="544">
        <v>500</v>
      </c>
      <c r="E159" s="545">
        <v>0</v>
      </c>
      <c r="F159" s="686">
        <v>200</v>
      </c>
      <c r="G159" s="544"/>
      <c r="H159" s="546">
        <v>0</v>
      </c>
      <c r="I159" s="546">
        <v>0</v>
      </c>
      <c r="J159" s="546">
        <v>0</v>
      </c>
      <c r="K159" s="546">
        <v>0</v>
      </c>
      <c r="L159" s="546">
        <v>0</v>
      </c>
      <c r="M159" s="546">
        <v>0</v>
      </c>
      <c r="N159" s="546">
        <v>0</v>
      </c>
      <c r="O159" s="546">
        <v>0</v>
      </c>
      <c r="P159" s="546">
        <v>0</v>
      </c>
      <c r="Q159" s="546">
        <v>0</v>
      </c>
      <c r="R159" s="546">
        <v>0</v>
      </c>
      <c r="S159" s="546"/>
      <c r="T159" s="835">
        <v>0</v>
      </c>
    </row>
    <row r="160" spans="1:24" x14ac:dyDescent="0.25">
      <c r="A160" s="687" t="s">
        <v>1095</v>
      </c>
      <c r="B160" s="688" t="s">
        <v>1096</v>
      </c>
      <c r="C160" s="543">
        <v>2000</v>
      </c>
      <c r="D160" s="544">
        <v>2000</v>
      </c>
      <c r="E160" s="545">
        <v>0</v>
      </c>
      <c r="F160" s="686">
        <v>1500</v>
      </c>
      <c r="G160" s="544"/>
      <c r="H160" s="546">
        <v>0</v>
      </c>
      <c r="I160" s="546">
        <v>0</v>
      </c>
      <c r="J160" s="546">
        <v>0</v>
      </c>
      <c r="K160" s="546">
        <v>0</v>
      </c>
      <c r="L160" s="546">
        <v>0</v>
      </c>
      <c r="M160" s="546">
        <v>0</v>
      </c>
      <c r="N160" s="546">
        <v>0</v>
      </c>
      <c r="O160" s="546">
        <v>0</v>
      </c>
      <c r="P160" s="546">
        <v>0</v>
      </c>
      <c r="Q160" s="546">
        <v>0</v>
      </c>
      <c r="R160" s="546">
        <v>0</v>
      </c>
      <c r="S160" s="546"/>
      <c r="T160" s="835">
        <v>0</v>
      </c>
    </row>
    <row r="161" spans="1:23" x14ac:dyDescent="0.25">
      <c r="A161" s="687" t="s">
        <v>1097</v>
      </c>
      <c r="B161" s="688" t="s">
        <v>1098</v>
      </c>
      <c r="C161" s="689">
        <v>3000</v>
      </c>
      <c r="D161" s="686">
        <v>2000</v>
      </c>
      <c r="E161" s="696">
        <v>0</v>
      </c>
      <c r="F161" s="686">
        <v>2500</v>
      </c>
      <c r="G161" s="544"/>
      <c r="H161" s="546">
        <v>0</v>
      </c>
      <c r="I161" s="546">
        <v>0</v>
      </c>
      <c r="J161" s="546">
        <v>0</v>
      </c>
      <c r="K161" s="546">
        <v>0</v>
      </c>
      <c r="L161" s="546">
        <v>0</v>
      </c>
      <c r="M161" s="546">
        <v>0</v>
      </c>
      <c r="N161" s="546">
        <v>0</v>
      </c>
      <c r="O161" s="546">
        <v>0</v>
      </c>
      <c r="P161" s="546">
        <v>0</v>
      </c>
      <c r="Q161" s="546">
        <v>0</v>
      </c>
      <c r="R161" s="546">
        <v>0</v>
      </c>
      <c r="S161" s="546"/>
      <c r="T161" s="835">
        <v>0</v>
      </c>
      <c r="U161" s="842">
        <v>5000</v>
      </c>
    </row>
    <row r="162" spans="1:23" x14ac:dyDescent="0.25">
      <c r="A162" s="687" t="s">
        <v>1099</v>
      </c>
      <c r="B162" s="688" t="s">
        <v>1100</v>
      </c>
      <c r="C162" s="689">
        <v>5000</v>
      </c>
      <c r="D162" s="686">
        <v>1000</v>
      </c>
      <c r="E162" s="696">
        <v>0</v>
      </c>
      <c r="F162" s="686">
        <v>2500</v>
      </c>
      <c r="G162" s="544"/>
      <c r="H162" s="546">
        <v>0</v>
      </c>
      <c r="I162" s="546">
        <v>0</v>
      </c>
      <c r="J162" s="546">
        <v>0</v>
      </c>
      <c r="K162" s="546">
        <v>0</v>
      </c>
      <c r="L162" s="546">
        <v>0</v>
      </c>
      <c r="M162" s="546">
        <v>0</v>
      </c>
      <c r="N162" s="546">
        <v>0</v>
      </c>
      <c r="O162" s="546">
        <v>0</v>
      </c>
      <c r="P162" s="546">
        <v>0</v>
      </c>
      <c r="Q162" s="546">
        <v>0</v>
      </c>
      <c r="R162" s="546">
        <v>0</v>
      </c>
      <c r="S162" s="546"/>
      <c r="T162" s="835">
        <v>0</v>
      </c>
      <c r="U162" s="842">
        <v>2500</v>
      </c>
    </row>
    <row r="163" spans="1:23" x14ac:dyDescent="0.25">
      <c r="A163" s="687" t="s">
        <v>1101</v>
      </c>
      <c r="B163" s="688" t="s">
        <v>1102</v>
      </c>
      <c r="C163" s="689">
        <v>9000</v>
      </c>
      <c r="D163" s="686">
        <v>4000</v>
      </c>
      <c r="E163" s="696">
        <v>0</v>
      </c>
      <c r="F163" s="686">
        <v>10000</v>
      </c>
      <c r="G163" s="544"/>
      <c r="H163" s="546">
        <v>0</v>
      </c>
      <c r="I163" s="546">
        <v>0</v>
      </c>
      <c r="J163" s="546">
        <v>0</v>
      </c>
      <c r="K163" s="546">
        <v>0</v>
      </c>
      <c r="L163" s="546">
        <v>0</v>
      </c>
      <c r="M163" s="546">
        <v>0</v>
      </c>
      <c r="N163" s="546">
        <v>0</v>
      </c>
      <c r="O163" s="546">
        <v>0</v>
      </c>
      <c r="P163" s="546">
        <v>0</v>
      </c>
      <c r="Q163" s="546">
        <v>0</v>
      </c>
      <c r="R163" s="546">
        <v>0</v>
      </c>
      <c r="S163" s="546"/>
      <c r="T163" s="835">
        <v>0</v>
      </c>
      <c r="U163" s="842">
        <v>4000</v>
      </c>
    </row>
    <row r="164" spans="1:23" x14ac:dyDescent="0.25">
      <c r="A164" s="687" t="s">
        <v>1103</v>
      </c>
      <c r="B164" s="688" t="s">
        <v>1104</v>
      </c>
      <c r="C164" s="689">
        <v>6000</v>
      </c>
      <c r="D164" s="686">
        <v>1000</v>
      </c>
      <c r="E164" s="696">
        <v>0</v>
      </c>
      <c r="F164" s="686">
        <v>4000</v>
      </c>
      <c r="G164" s="544"/>
      <c r="H164" s="546">
        <v>0</v>
      </c>
      <c r="I164" s="546">
        <v>0</v>
      </c>
      <c r="J164" s="546">
        <v>0</v>
      </c>
      <c r="K164" s="546">
        <v>0</v>
      </c>
      <c r="L164" s="546">
        <v>0</v>
      </c>
      <c r="M164" s="546">
        <v>0</v>
      </c>
      <c r="N164" s="546">
        <v>0</v>
      </c>
      <c r="O164" s="546">
        <v>0</v>
      </c>
      <c r="P164" s="546">
        <v>0</v>
      </c>
      <c r="Q164" s="546">
        <v>0</v>
      </c>
      <c r="R164" s="546">
        <v>0</v>
      </c>
      <c r="S164" s="546"/>
      <c r="T164" s="835">
        <v>0</v>
      </c>
      <c r="U164" s="490">
        <f>SUM(U161:U163)</f>
        <v>11500</v>
      </c>
    </row>
    <row r="165" spans="1:23" s="467" customFormat="1" x14ac:dyDescent="0.25">
      <c r="A165" s="462" t="s">
        <v>1105</v>
      </c>
      <c r="B165" s="718" t="s">
        <v>703</v>
      </c>
      <c r="C165" s="689">
        <v>1500</v>
      </c>
      <c r="D165" s="686">
        <v>1500</v>
      </c>
      <c r="E165" s="696">
        <v>0</v>
      </c>
      <c r="F165" s="686">
        <v>1000</v>
      </c>
      <c r="G165" s="552"/>
      <c r="H165" s="580"/>
      <c r="I165" s="580"/>
      <c r="J165" s="580"/>
      <c r="K165" s="580">
        <v>0</v>
      </c>
      <c r="L165" s="580">
        <v>0</v>
      </c>
      <c r="M165" s="580">
        <v>0</v>
      </c>
      <c r="N165" s="580">
        <v>61</v>
      </c>
      <c r="O165" s="554">
        <v>61</v>
      </c>
      <c r="P165" s="580">
        <v>61</v>
      </c>
      <c r="Q165" s="580">
        <v>61</v>
      </c>
      <c r="R165" s="580">
        <v>61</v>
      </c>
      <c r="S165" s="580"/>
      <c r="T165" s="834">
        <v>61</v>
      </c>
      <c r="U165" s="466"/>
      <c r="V165" s="460"/>
    </row>
    <row r="166" spans="1:23" x14ac:dyDescent="0.25">
      <c r="A166" s="725" t="s">
        <v>1089</v>
      </c>
      <c r="B166" s="719" t="s">
        <v>1106</v>
      </c>
      <c r="C166" s="689">
        <v>0</v>
      </c>
      <c r="D166" s="686">
        <v>0</v>
      </c>
      <c r="E166" s="696">
        <v>0</v>
      </c>
      <c r="F166" s="686">
        <v>0</v>
      </c>
      <c r="G166" s="544"/>
      <c r="H166" s="546">
        <v>0</v>
      </c>
      <c r="I166" s="546">
        <v>0</v>
      </c>
      <c r="J166" s="546">
        <v>0</v>
      </c>
      <c r="K166" s="546">
        <v>0</v>
      </c>
      <c r="L166" s="546">
        <v>0</v>
      </c>
      <c r="M166" s="546">
        <v>0</v>
      </c>
      <c r="N166" s="546">
        <v>0</v>
      </c>
      <c r="O166" s="546">
        <v>0</v>
      </c>
      <c r="P166" s="546">
        <v>0</v>
      </c>
      <c r="Q166" s="546">
        <v>0</v>
      </c>
      <c r="R166" s="546">
        <v>0</v>
      </c>
      <c r="S166" s="567"/>
      <c r="T166" s="835">
        <v>0</v>
      </c>
    </row>
    <row r="167" spans="1:23" s="585" customFormat="1" x14ac:dyDescent="0.25">
      <c r="A167" s="462" t="s">
        <v>1107</v>
      </c>
      <c r="B167" s="718" t="s">
        <v>1108</v>
      </c>
      <c r="C167" s="689">
        <v>500</v>
      </c>
      <c r="D167" s="686">
        <v>500</v>
      </c>
      <c r="E167" s="690">
        <v>0</v>
      </c>
      <c r="F167" s="686">
        <v>500</v>
      </c>
      <c r="G167" s="552"/>
      <c r="H167" s="555">
        <v>0</v>
      </c>
      <c r="I167" s="555">
        <v>0</v>
      </c>
      <c r="J167" s="555">
        <v>0</v>
      </c>
      <c r="K167" s="555">
        <v>0</v>
      </c>
      <c r="L167" s="555">
        <v>0</v>
      </c>
      <c r="M167" s="555">
        <v>0</v>
      </c>
      <c r="N167" s="555">
        <v>0</v>
      </c>
      <c r="O167" s="555">
        <v>0</v>
      </c>
      <c r="P167" s="555">
        <v>0</v>
      </c>
      <c r="Q167" s="555">
        <v>0</v>
      </c>
      <c r="R167" s="555">
        <v>0</v>
      </c>
      <c r="S167" s="555"/>
      <c r="T167" s="830">
        <v>0</v>
      </c>
      <c r="U167" s="584"/>
      <c r="V167" s="460"/>
    </row>
    <row r="168" spans="1:23" s="467" customFormat="1" x14ac:dyDescent="0.25">
      <c r="A168" s="549" t="s">
        <v>1109</v>
      </c>
      <c r="B168" s="550" t="s">
        <v>1110</v>
      </c>
      <c r="C168" s="551"/>
      <c r="D168" s="552"/>
      <c r="E168" s="566"/>
      <c r="F168" s="552"/>
      <c r="G168" s="552"/>
      <c r="H168" s="558"/>
      <c r="I168" s="558"/>
      <c r="J168" s="558"/>
      <c r="K168" s="558"/>
      <c r="L168" s="558"/>
      <c r="M168" s="558"/>
      <c r="N168" s="558"/>
      <c r="O168" s="558"/>
      <c r="P168" s="558"/>
      <c r="Q168" s="558"/>
      <c r="R168" s="558"/>
      <c r="S168" s="558"/>
      <c r="T168" s="833"/>
      <c r="U168" s="466"/>
      <c r="V168" s="460"/>
    </row>
    <row r="169" spans="1:23" x14ac:dyDescent="0.25">
      <c r="A169" s="687" t="s">
        <v>324</v>
      </c>
      <c r="B169" s="688" t="s">
        <v>1111</v>
      </c>
      <c r="C169" s="543">
        <v>500</v>
      </c>
      <c r="D169" s="544">
        <v>500</v>
      </c>
      <c r="E169" s="545">
        <v>0</v>
      </c>
      <c r="F169" s="686">
        <v>500</v>
      </c>
      <c r="G169" s="544"/>
      <c r="H169" s="546">
        <v>0</v>
      </c>
      <c r="I169" s="546">
        <v>0</v>
      </c>
      <c r="J169" s="546">
        <v>0</v>
      </c>
      <c r="K169" s="546">
        <v>0</v>
      </c>
      <c r="L169" s="546">
        <v>0</v>
      </c>
      <c r="M169" s="546">
        <v>0</v>
      </c>
      <c r="N169" s="546">
        <v>0</v>
      </c>
      <c r="O169" s="546">
        <v>0</v>
      </c>
      <c r="P169" s="546">
        <v>0</v>
      </c>
      <c r="Q169" s="546">
        <v>0</v>
      </c>
      <c r="R169" s="546">
        <v>0</v>
      </c>
      <c r="S169" s="546"/>
      <c r="T169" s="835">
        <v>0</v>
      </c>
    </row>
    <row r="170" spans="1:23" x14ac:dyDescent="0.25">
      <c r="A170" s="687" t="s">
        <v>1112</v>
      </c>
      <c r="B170" s="688" t="s">
        <v>1113</v>
      </c>
      <c r="C170" s="543">
        <v>1000</v>
      </c>
      <c r="D170" s="544">
        <v>1000</v>
      </c>
      <c r="E170" s="545">
        <v>0</v>
      </c>
      <c r="F170" s="686">
        <v>4000</v>
      </c>
      <c r="G170" s="544"/>
      <c r="H170" s="546">
        <v>0</v>
      </c>
      <c r="I170" s="546">
        <v>0</v>
      </c>
      <c r="J170" s="546">
        <v>0</v>
      </c>
      <c r="K170" s="546">
        <v>0</v>
      </c>
      <c r="L170" s="546">
        <v>0</v>
      </c>
      <c r="M170" s="546">
        <v>0</v>
      </c>
      <c r="N170" s="546">
        <v>0</v>
      </c>
      <c r="O170" s="546">
        <v>0</v>
      </c>
      <c r="P170" s="546">
        <v>0</v>
      </c>
      <c r="Q170" s="546">
        <v>0</v>
      </c>
      <c r="R170" s="546">
        <v>0</v>
      </c>
      <c r="S170" s="546"/>
      <c r="T170" s="835">
        <v>0</v>
      </c>
    </row>
    <row r="171" spans="1:23" x14ac:dyDescent="0.25">
      <c r="A171" s="687" t="s">
        <v>1114</v>
      </c>
      <c r="B171" s="719" t="s">
        <v>1115</v>
      </c>
      <c r="C171" s="689">
        <v>5000</v>
      </c>
      <c r="D171" s="686">
        <v>5000</v>
      </c>
      <c r="E171" s="690">
        <v>406</v>
      </c>
      <c r="F171" s="686">
        <v>4000</v>
      </c>
      <c r="G171" s="544"/>
      <c r="H171" s="546">
        <v>0</v>
      </c>
      <c r="I171" s="546">
        <v>0</v>
      </c>
      <c r="J171" s="546">
        <v>0</v>
      </c>
      <c r="K171" s="546">
        <v>0</v>
      </c>
      <c r="L171" s="546">
        <v>0</v>
      </c>
      <c r="M171" s="546">
        <v>0</v>
      </c>
      <c r="N171" s="546">
        <v>0</v>
      </c>
      <c r="O171" s="546">
        <v>0</v>
      </c>
      <c r="P171" s="546">
        <v>0</v>
      </c>
      <c r="Q171" s="546">
        <v>0</v>
      </c>
      <c r="R171" s="546">
        <v>0</v>
      </c>
      <c r="S171" s="548"/>
      <c r="T171" s="829">
        <v>330</v>
      </c>
    </row>
    <row r="172" spans="1:23" x14ac:dyDescent="0.25">
      <c r="A172" s="687" t="s">
        <v>1116</v>
      </c>
      <c r="B172" s="688" t="s">
        <v>1117</v>
      </c>
      <c r="C172" s="689">
        <v>3000</v>
      </c>
      <c r="D172" s="686">
        <v>3000</v>
      </c>
      <c r="E172" s="696">
        <v>0</v>
      </c>
      <c r="F172" s="686">
        <v>1000</v>
      </c>
      <c r="G172" s="544"/>
      <c r="H172" s="546">
        <v>0</v>
      </c>
      <c r="I172" s="546">
        <v>0</v>
      </c>
      <c r="J172" s="546">
        <v>0</v>
      </c>
      <c r="K172" s="546">
        <v>0</v>
      </c>
      <c r="L172" s="546">
        <v>0</v>
      </c>
      <c r="M172" s="546">
        <v>0</v>
      </c>
      <c r="N172" s="546">
        <v>0</v>
      </c>
      <c r="O172" s="546">
        <v>0</v>
      </c>
      <c r="P172" s="546">
        <v>0</v>
      </c>
      <c r="Q172" s="546">
        <v>0</v>
      </c>
      <c r="R172" s="546">
        <v>0</v>
      </c>
      <c r="S172" s="546"/>
      <c r="T172" s="835">
        <v>0</v>
      </c>
    </row>
    <row r="173" spans="1:23" x14ac:dyDescent="0.25">
      <c r="A173" s="687" t="s">
        <v>1118</v>
      </c>
      <c r="B173" s="688" t="s">
        <v>1119</v>
      </c>
      <c r="C173" s="689">
        <v>3000</v>
      </c>
      <c r="D173" s="686">
        <v>3000</v>
      </c>
      <c r="E173" s="696">
        <v>0</v>
      </c>
      <c r="F173" s="686">
        <v>6000</v>
      </c>
      <c r="G173" s="544"/>
      <c r="H173" s="546">
        <v>0</v>
      </c>
      <c r="I173" s="546">
        <v>0</v>
      </c>
      <c r="J173" s="546">
        <v>0</v>
      </c>
      <c r="K173" s="546">
        <v>0</v>
      </c>
      <c r="L173" s="546">
        <v>0</v>
      </c>
      <c r="M173" s="546">
        <v>0</v>
      </c>
      <c r="N173" s="546">
        <v>0</v>
      </c>
      <c r="O173" s="546">
        <v>0</v>
      </c>
      <c r="P173" s="546">
        <v>0</v>
      </c>
      <c r="Q173" s="546">
        <v>0</v>
      </c>
      <c r="R173" s="546">
        <v>0</v>
      </c>
      <c r="S173" s="546"/>
      <c r="T173" s="835">
        <v>0</v>
      </c>
    </row>
    <row r="174" spans="1:23" x14ac:dyDescent="0.25">
      <c r="A174" s="687" t="s">
        <v>1120</v>
      </c>
      <c r="B174" s="719" t="s">
        <v>1121</v>
      </c>
      <c r="C174" s="689">
        <v>2000</v>
      </c>
      <c r="D174" s="686">
        <v>2000</v>
      </c>
      <c r="E174" s="690">
        <v>0</v>
      </c>
      <c r="F174" s="686">
        <v>7000</v>
      </c>
      <c r="G174" s="544"/>
      <c r="H174" s="546">
        <v>0</v>
      </c>
      <c r="I174" s="546">
        <v>0</v>
      </c>
      <c r="J174" s="546">
        <v>0</v>
      </c>
      <c r="K174" s="546">
        <v>0</v>
      </c>
      <c r="L174" s="546">
        <v>0</v>
      </c>
      <c r="M174" s="546">
        <v>0</v>
      </c>
      <c r="N174" s="546">
        <v>0</v>
      </c>
      <c r="O174" s="546">
        <v>0</v>
      </c>
      <c r="P174" s="548">
        <v>0</v>
      </c>
      <c r="Q174" s="548">
        <v>0</v>
      </c>
      <c r="R174" s="548">
        <v>0</v>
      </c>
      <c r="S174" s="548"/>
      <c r="T174" s="829">
        <v>0</v>
      </c>
    </row>
    <row r="175" spans="1:23" x14ac:dyDescent="0.25">
      <c r="A175" s="687" t="s">
        <v>1122</v>
      </c>
      <c r="B175" s="688" t="s">
        <v>1123</v>
      </c>
      <c r="C175" s="689">
        <v>4000</v>
      </c>
      <c r="D175" s="686">
        <v>4000</v>
      </c>
      <c r="E175" s="696">
        <v>151.02000000000001</v>
      </c>
      <c r="F175" s="686">
        <v>1500</v>
      </c>
      <c r="G175" s="544"/>
      <c r="H175" s="546">
        <v>0</v>
      </c>
      <c r="I175" s="546">
        <v>0</v>
      </c>
      <c r="J175" s="546">
        <v>166.48</v>
      </c>
      <c r="K175" s="546">
        <v>166.48</v>
      </c>
      <c r="L175" s="546">
        <v>166.48</v>
      </c>
      <c r="M175" s="546">
        <v>166.48</v>
      </c>
      <c r="N175" s="546">
        <v>166.48</v>
      </c>
      <c r="O175" s="546">
        <v>166.48</v>
      </c>
      <c r="P175" s="546">
        <v>166.48</v>
      </c>
      <c r="Q175" s="546">
        <v>166.48</v>
      </c>
      <c r="R175" s="546">
        <v>166.48</v>
      </c>
      <c r="S175" s="546"/>
      <c r="T175" s="835">
        <v>187.73</v>
      </c>
      <c r="U175" s="435" t="s">
        <v>344</v>
      </c>
      <c r="W175" s="620">
        <f>F135+F175+F167</f>
        <v>2100</v>
      </c>
    </row>
    <row r="176" spans="1:23" x14ac:dyDescent="0.25">
      <c r="A176" s="687" t="s">
        <v>1124</v>
      </c>
      <c r="B176" s="688" t="s">
        <v>1125</v>
      </c>
      <c r="C176" s="689">
        <v>1000</v>
      </c>
      <c r="D176" s="686">
        <v>1000</v>
      </c>
      <c r="E176" s="696">
        <v>0</v>
      </c>
      <c r="F176" s="686">
        <v>500</v>
      </c>
      <c r="G176" s="544"/>
      <c r="H176" s="546">
        <v>0</v>
      </c>
      <c r="I176" s="546">
        <v>0</v>
      </c>
      <c r="J176" s="546">
        <v>0</v>
      </c>
      <c r="K176" s="546">
        <v>0</v>
      </c>
      <c r="L176" s="546">
        <v>0</v>
      </c>
      <c r="M176" s="546">
        <v>0</v>
      </c>
      <c r="N176" s="546">
        <v>0</v>
      </c>
      <c r="O176" s="546">
        <v>0</v>
      </c>
      <c r="P176" s="546">
        <v>0</v>
      </c>
      <c r="Q176" s="546">
        <v>0</v>
      </c>
      <c r="R176" s="546">
        <v>0</v>
      </c>
      <c r="S176" s="546"/>
      <c r="T176" s="835">
        <v>0</v>
      </c>
    </row>
    <row r="177" spans="1:22" x14ac:dyDescent="0.25">
      <c r="A177" s="549" t="s">
        <v>422</v>
      </c>
      <c r="B177" s="550" t="s">
        <v>1126</v>
      </c>
      <c r="C177" s="551"/>
      <c r="D177" s="552"/>
      <c r="E177" s="579"/>
      <c r="F177" s="552"/>
      <c r="G177" s="552"/>
      <c r="H177" s="554"/>
      <c r="I177" s="554"/>
      <c r="J177" s="554"/>
      <c r="K177" s="554"/>
      <c r="L177" s="554"/>
      <c r="M177" s="554"/>
      <c r="N177" s="554"/>
      <c r="O177" s="554"/>
      <c r="P177" s="554"/>
      <c r="Q177" s="554"/>
      <c r="R177" s="554"/>
      <c r="S177" s="554"/>
      <c r="T177" s="834"/>
    </row>
    <row r="178" spans="1:22" x14ac:dyDescent="0.25">
      <c r="A178" s="693" t="s">
        <v>424</v>
      </c>
      <c r="B178" s="694" t="s">
        <v>1127</v>
      </c>
      <c r="C178" s="689">
        <v>3000</v>
      </c>
      <c r="D178" s="686">
        <v>0</v>
      </c>
      <c r="E178" s="696">
        <v>0</v>
      </c>
      <c r="F178" s="686">
        <v>0</v>
      </c>
      <c r="G178" s="544"/>
      <c r="H178" s="587">
        <v>0</v>
      </c>
      <c r="I178" s="587">
        <v>0</v>
      </c>
      <c r="J178" s="587">
        <v>0</v>
      </c>
      <c r="K178" s="587">
        <v>0</v>
      </c>
      <c r="L178" s="587">
        <v>0</v>
      </c>
      <c r="M178" s="587">
        <v>0</v>
      </c>
      <c r="N178" s="587">
        <v>0</v>
      </c>
      <c r="O178" s="587">
        <v>0</v>
      </c>
      <c r="P178" s="587">
        <v>0</v>
      </c>
      <c r="Q178" s="587">
        <v>0</v>
      </c>
      <c r="R178" s="587">
        <v>0</v>
      </c>
      <c r="S178" s="587"/>
      <c r="T178" s="836">
        <v>0</v>
      </c>
    </row>
    <row r="179" spans="1:22" x14ac:dyDescent="0.25">
      <c r="A179" s="693" t="s">
        <v>427</v>
      </c>
      <c r="B179" s="694" t="s">
        <v>1128</v>
      </c>
      <c r="C179" s="689">
        <v>0</v>
      </c>
      <c r="D179" s="686">
        <v>12000</v>
      </c>
      <c r="E179" s="696">
        <v>9901.69</v>
      </c>
      <c r="F179" s="686">
        <v>0</v>
      </c>
      <c r="G179" s="544"/>
      <c r="H179" s="587">
        <v>0</v>
      </c>
      <c r="I179" s="587">
        <v>0</v>
      </c>
      <c r="J179" s="587">
        <v>0</v>
      </c>
      <c r="K179" s="587">
        <v>0</v>
      </c>
      <c r="L179" s="587">
        <v>0</v>
      </c>
      <c r="M179" s="587">
        <v>0</v>
      </c>
      <c r="N179" s="587">
        <v>0</v>
      </c>
      <c r="O179" s="587">
        <v>0</v>
      </c>
      <c r="P179" s="587">
        <v>0</v>
      </c>
      <c r="Q179" s="587">
        <v>0</v>
      </c>
      <c r="R179" s="587">
        <v>0</v>
      </c>
      <c r="S179" s="587"/>
      <c r="T179" s="836">
        <v>0</v>
      </c>
    </row>
    <row r="180" spans="1:22" x14ac:dyDescent="0.25">
      <c r="A180" s="588"/>
      <c r="B180" s="535" t="s">
        <v>1129</v>
      </c>
      <c r="C180" s="537">
        <f t="shared" ref="C180:S180" si="8">SUM(C56:C179)</f>
        <v>822858.36</v>
      </c>
      <c r="D180" s="538">
        <f t="shared" si="8"/>
        <v>789858.36</v>
      </c>
      <c r="E180" s="564">
        <f t="shared" si="8"/>
        <v>629950.65999999992</v>
      </c>
      <c r="F180" s="538">
        <f>SUM(F56:F179)</f>
        <v>533570</v>
      </c>
      <c r="G180" s="538">
        <f t="shared" si="8"/>
        <v>0</v>
      </c>
      <c r="H180" s="589">
        <f t="shared" si="8"/>
        <v>36220.939999999995</v>
      </c>
      <c r="I180" s="589">
        <f t="shared" si="8"/>
        <v>49564.569999999992</v>
      </c>
      <c r="J180" s="589">
        <f t="shared" si="8"/>
        <v>112014.12</v>
      </c>
      <c r="K180" s="589">
        <f t="shared" si="8"/>
        <v>151091.72000000006</v>
      </c>
      <c r="L180" s="589">
        <f t="shared" si="8"/>
        <v>156131.01000000004</v>
      </c>
      <c r="M180" s="589">
        <f t="shared" si="8"/>
        <v>160295.18000000008</v>
      </c>
      <c r="N180" s="589">
        <f t="shared" si="8"/>
        <v>160682.29000000007</v>
      </c>
      <c r="O180" s="589">
        <f t="shared" si="8"/>
        <v>165697.05000000005</v>
      </c>
      <c r="P180" s="589">
        <f t="shared" si="8"/>
        <v>255500.99000000002</v>
      </c>
      <c r="Q180" s="589">
        <f t="shared" si="8"/>
        <v>258745.43000000002</v>
      </c>
      <c r="R180" s="589">
        <f t="shared" si="8"/>
        <v>333531.13999999996</v>
      </c>
      <c r="S180" s="589">
        <f t="shared" si="8"/>
        <v>0</v>
      </c>
      <c r="T180" s="837">
        <f t="shared" ref="T180" si="9">SUM(T56:T179)</f>
        <v>418690.32999999996</v>
      </c>
    </row>
    <row r="181" spans="1:22" x14ac:dyDescent="0.25">
      <c r="A181" s="549" t="s">
        <v>1130</v>
      </c>
      <c r="B181" s="550" t="s">
        <v>1131</v>
      </c>
      <c r="C181" s="551"/>
      <c r="D181" s="552"/>
      <c r="E181" s="579"/>
      <c r="F181" s="552"/>
      <c r="G181" s="552"/>
      <c r="H181" s="554"/>
      <c r="I181" s="554"/>
      <c r="J181" s="554"/>
      <c r="K181" s="554"/>
      <c r="L181" s="554"/>
      <c r="M181" s="554"/>
      <c r="N181" s="554"/>
      <c r="O181" s="554"/>
      <c r="P181" s="554"/>
      <c r="Q181" s="554"/>
      <c r="R181" s="554"/>
      <c r="S181" s="554"/>
      <c r="T181" s="834"/>
    </row>
    <row r="182" spans="1:22" x14ac:dyDescent="0.25">
      <c r="A182" s="549" t="s">
        <v>1132</v>
      </c>
      <c r="B182" s="550" t="s">
        <v>1133</v>
      </c>
      <c r="C182" s="551"/>
      <c r="D182" s="552"/>
      <c r="E182" s="579"/>
      <c r="F182" s="552"/>
      <c r="G182" s="552"/>
      <c r="H182" s="554"/>
      <c r="I182" s="554"/>
      <c r="J182" s="554"/>
      <c r="K182" s="554"/>
      <c r="L182" s="554"/>
      <c r="M182" s="554"/>
      <c r="N182" s="554"/>
      <c r="O182" s="554"/>
      <c r="P182" s="554"/>
      <c r="Q182" s="554"/>
      <c r="R182" s="554"/>
      <c r="S182" s="554"/>
      <c r="T182" s="834"/>
    </row>
    <row r="183" spans="1:22" x14ac:dyDescent="0.25">
      <c r="A183" s="687" t="s">
        <v>1134</v>
      </c>
      <c r="B183" s="688" t="s">
        <v>1135</v>
      </c>
      <c r="C183" s="543">
        <v>200</v>
      </c>
      <c r="D183" s="544">
        <v>200</v>
      </c>
      <c r="E183" s="545">
        <v>0</v>
      </c>
      <c r="F183" s="686">
        <v>0</v>
      </c>
      <c r="G183" s="544"/>
      <c r="H183" s="546">
        <v>0</v>
      </c>
      <c r="I183" s="546">
        <v>0</v>
      </c>
      <c r="J183" s="546">
        <v>0</v>
      </c>
      <c r="K183" s="546">
        <v>0</v>
      </c>
      <c r="L183" s="546">
        <v>0</v>
      </c>
      <c r="M183" s="546">
        <v>0</v>
      </c>
      <c r="N183" s="546">
        <v>0</v>
      </c>
      <c r="O183" s="546">
        <v>0</v>
      </c>
      <c r="P183" s="546">
        <v>0</v>
      </c>
      <c r="Q183" s="546">
        <v>0</v>
      </c>
      <c r="R183" s="567">
        <v>0</v>
      </c>
      <c r="S183" s="567"/>
      <c r="T183" s="835">
        <v>0</v>
      </c>
    </row>
    <row r="184" spans="1:22" x14ac:dyDescent="0.25">
      <c r="A184" s="687" t="s">
        <v>1136</v>
      </c>
      <c r="B184" s="688" t="s">
        <v>1137</v>
      </c>
      <c r="C184" s="543">
        <v>200</v>
      </c>
      <c r="D184" s="544">
        <v>200</v>
      </c>
      <c r="E184" s="547">
        <v>0</v>
      </c>
      <c r="F184" s="686">
        <v>0</v>
      </c>
      <c r="G184" s="544"/>
      <c r="H184" s="548">
        <v>0</v>
      </c>
      <c r="I184" s="548">
        <v>0</v>
      </c>
      <c r="J184" s="548">
        <v>0</v>
      </c>
      <c r="K184" s="548">
        <v>0</v>
      </c>
      <c r="L184" s="548">
        <v>0</v>
      </c>
      <c r="M184" s="548">
        <v>0</v>
      </c>
      <c r="N184" s="548">
        <v>0</v>
      </c>
      <c r="O184" s="548">
        <v>0</v>
      </c>
      <c r="P184" s="548">
        <v>0</v>
      </c>
      <c r="Q184" s="548">
        <v>0</v>
      </c>
      <c r="R184" s="548">
        <v>0</v>
      </c>
      <c r="S184" s="548"/>
      <c r="T184" s="829">
        <v>0</v>
      </c>
    </row>
    <row r="185" spans="1:22" x14ac:dyDescent="0.25">
      <c r="A185" s="687" t="s">
        <v>493</v>
      </c>
      <c r="B185" s="688" t="s">
        <v>1138</v>
      </c>
      <c r="C185" s="689">
        <v>1000</v>
      </c>
      <c r="D185" s="686">
        <v>1000</v>
      </c>
      <c r="E185" s="690">
        <v>150</v>
      </c>
      <c r="F185" s="686">
        <v>200</v>
      </c>
      <c r="G185" s="544"/>
      <c r="H185" s="548">
        <v>0</v>
      </c>
      <c r="I185" s="548">
        <v>0</v>
      </c>
      <c r="J185" s="548">
        <v>100</v>
      </c>
      <c r="K185" s="548">
        <v>100</v>
      </c>
      <c r="L185" s="548">
        <v>100</v>
      </c>
      <c r="M185" s="548">
        <v>100</v>
      </c>
      <c r="N185" s="548">
        <v>100</v>
      </c>
      <c r="O185" s="548">
        <v>150</v>
      </c>
      <c r="P185" s="548">
        <v>150</v>
      </c>
      <c r="Q185" s="548">
        <v>150</v>
      </c>
      <c r="R185" s="548">
        <v>150</v>
      </c>
      <c r="S185" s="548"/>
      <c r="T185" s="829">
        <v>150</v>
      </c>
    </row>
    <row r="186" spans="1:22" x14ac:dyDescent="0.25">
      <c r="A186" s="687" t="s">
        <v>1139</v>
      </c>
      <c r="B186" s="688" t="s">
        <v>1140</v>
      </c>
      <c r="C186" s="689">
        <v>500</v>
      </c>
      <c r="D186" s="686">
        <v>500</v>
      </c>
      <c r="E186" s="690">
        <v>0</v>
      </c>
      <c r="F186" s="686">
        <v>0</v>
      </c>
      <c r="G186" s="544"/>
      <c r="H186" s="548">
        <v>0</v>
      </c>
      <c r="I186" s="548">
        <v>0</v>
      </c>
      <c r="J186" s="548">
        <v>0</v>
      </c>
      <c r="K186" s="548">
        <v>0</v>
      </c>
      <c r="L186" s="548">
        <v>0</v>
      </c>
      <c r="M186" s="548">
        <v>0</v>
      </c>
      <c r="N186" s="548">
        <v>0</v>
      </c>
      <c r="O186" s="548">
        <v>0</v>
      </c>
      <c r="P186" s="548">
        <v>0</v>
      </c>
      <c r="Q186" s="548">
        <v>0</v>
      </c>
      <c r="R186" s="548">
        <v>0</v>
      </c>
      <c r="S186" s="548"/>
      <c r="T186" s="829">
        <v>0</v>
      </c>
    </row>
    <row r="187" spans="1:22" x14ac:dyDescent="0.25">
      <c r="A187" s="687" t="s">
        <v>1141</v>
      </c>
      <c r="B187" s="688" t="s">
        <v>1142</v>
      </c>
      <c r="C187" s="689">
        <v>300</v>
      </c>
      <c r="D187" s="686">
        <v>300</v>
      </c>
      <c r="E187" s="690">
        <v>0</v>
      </c>
      <c r="F187" s="686">
        <v>0</v>
      </c>
      <c r="G187" s="544"/>
      <c r="H187" s="548">
        <v>0</v>
      </c>
      <c r="I187" s="548">
        <v>0</v>
      </c>
      <c r="J187" s="548">
        <v>0</v>
      </c>
      <c r="K187" s="548">
        <v>0</v>
      </c>
      <c r="L187" s="548">
        <v>0</v>
      </c>
      <c r="M187" s="548">
        <v>0</v>
      </c>
      <c r="N187" s="548">
        <v>0</v>
      </c>
      <c r="O187" s="548">
        <v>0</v>
      </c>
      <c r="P187" s="548">
        <v>0</v>
      </c>
      <c r="Q187" s="548">
        <v>0</v>
      </c>
      <c r="R187" s="548">
        <v>0</v>
      </c>
      <c r="S187" s="548"/>
      <c r="T187" s="829">
        <v>0</v>
      </c>
    </row>
    <row r="188" spans="1:22" x14ac:dyDescent="0.25">
      <c r="A188" s="687" t="s">
        <v>496</v>
      </c>
      <c r="B188" s="688" t="s">
        <v>1143</v>
      </c>
      <c r="C188" s="689">
        <v>500</v>
      </c>
      <c r="D188" s="686">
        <v>500</v>
      </c>
      <c r="E188" s="690">
        <v>0</v>
      </c>
      <c r="F188" s="686">
        <v>200</v>
      </c>
      <c r="G188" s="544"/>
      <c r="H188" s="548">
        <v>0</v>
      </c>
      <c r="I188" s="548">
        <v>0</v>
      </c>
      <c r="J188" s="548">
        <v>0</v>
      </c>
      <c r="K188" s="548">
        <v>0</v>
      </c>
      <c r="L188" s="548">
        <v>0</v>
      </c>
      <c r="M188" s="548">
        <v>0</v>
      </c>
      <c r="N188" s="548">
        <v>0</v>
      </c>
      <c r="O188" s="548">
        <v>0</v>
      </c>
      <c r="P188" s="548">
        <v>0</v>
      </c>
      <c r="Q188" s="548">
        <v>0</v>
      </c>
      <c r="R188" s="548">
        <v>0</v>
      </c>
      <c r="S188" s="548"/>
      <c r="T188" s="829">
        <v>0</v>
      </c>
    </row>
    <row r="189" spans="1:22" x14ac:dyDescent="0.25">
      <c r="A189" s="687" t="s">
        <v>503</v>
      </c>
      <c r="B189" s="688" t="s">
        <v>1144</v>
      </c>
      <c r="C189" s="689">
        <v>3000</v>
      </c>
      <c r="D189" s="686">
        <v>3000</v>
      </c>
      <c r="E189" s="690">
        <v>2693.44</v>
      </c>
      <c r="F189" s="686">
        <v>3264.02</v>
      </c>
      <c r="G189" s="544"/>
      <c r="H189" s="548">
        <v>3264.02</v>
      </c>
      <c r="I189" s="548">
        <v>3264.02</v>
      </c>
      <c r="J189" s="548">
        <v>3264.02</v>
      </c>
      <c r="K189" s="548">
        <v>3264.02</v>
      </c>
      <c r="L189" s="548">
        <v>3264.02</v>
      </c>
      <c r="M189" s="548">
        <v>3264.02</v>
      </c>
      <c r="N189" s="548">
        <v>3264.02</v>
      </c>
      <c r="O189" s="548">
        <v>3264.02</v>
      </c>
      <c r="P189" s="548">
        <v>3264.02</v>
      </c>
      <c r="Q189" s="548">
        <v>3264.02</v>
      </c>
      <c r="R189" s="548">
        <v>3264.02</v>
      </c>
      <c r="S189" s="548"/>
      <c r="T189" s="829">
        <v>3264.02</v>
      </c>
    </row>
    <row r="190" spans="1:22" x14ac:dyDescent="0.25">
      <c r="A190" s="687" t="s">
        <v>506</v>
      </c>
      <c r="B190" s="688" t="s">
        <v>1145</v>
      </c>
      <c r="C190" s="689">
        <v>25</v>
      </c>
      <c r="D190" s="686">
        <v>25</v>
      </c>
      <c r="E190" s="690">
        <v>25</v>
      </c>
      <c r="F190" s="686">
        <v>25</v>
      </c>
      <c r="G190" s="544"/>
      <c r="H190" s="548">
        <v>0</v>
      </c>
      <c r="I190" s="548">
        <v>0</v>
      </c>
      <c r="J190" s="548">
        <v>25</v>
      </c>
      <c r="K190" s="548">
        <v>25</v>
      </c>
      <c r="L190" s="548">
        <v>25</v>
      </c>
      <c r="M190" s="548">
        <v>25</v>
      </c>
      <c r="N190" s="548">
        <v>25</v>
      </c>
      <c r="O190" s="548">
        <v>25</v>
      </c>
      <c r="P190" s="548">
        <v>25</v>
      </c>
      <c r="Q190" s="548">
        <v>25</v>
      </c>
      <c r="R190" s="548">
        <v>25</v>
      </c>
      <c r="S190" s="548"/>
      <c r="T190" s="829">
        <v>25</v>
      </c>
    </row>
    <row r="191" spans="1:22" s="461" customFormat="1" x14ac:dyDescent="0.25">
      <c r="A191" s="549" t="s">
        <v>1146</v>
      </c>
      <c r="B191" s="550" t="s">
        <v>1147</v>
      </c>
      <c r="C191" s="551"/>
      <c r="D191" s="552"/>
      <c r="E191" s="566"/>
      <c r="F191" s="552"/>
      <c r="G191" s="552"/>
      <c r="H191" s="558"/>
      <c r="I191" s="558"/>
      <c r="J191" s="558"/>
      <c r="K191" s="558"/>
      <c r="L191" s="558"/>
      <c r="M191" s="558"/>
      <c r="N191" s="558"/>
      <c r="O191" s="558"/>
      <c r="P191" s="558"/>
      <c r="Q191" s="558"/>
      <c r="R191" s="580"/>
      <c r="S191" s="580"/>
      <c r="T191" s="833"/>
      <c r="U191" s="459"/>
      <c r="V191" s="460"/>
    </row>
    <row r="192" spans="1:22" x14ac:dyDescent="0.25">
      <c r="A192" s="687" t="s">
        <v>153</v>
      </c>
      <c r="B192" s="688" t="s">
        <v>1148</v>
      </c>
      <c r="C192" s="543">
        <v>5000</v>
      </c>
      <c r="D192" s="544">
        <v>5000</v>
      </c>
      <c r="E192" s="547">
        <v>495</v>
      </c>
      <c r="F192" s="686">
        <v>1500</v>
      </c>
      <c r="G192" s="544"/>
      <c r="H192" s="546">
        <v>0</v>
      </c>
      <c r="I192" s="546">
        <v>0</v>
      </c>
      <c r="J192" s="546">
        <v>0</v>
      </c>
      <c r="K192" s="546">
        <v>0</v>
      </c>
      <c r="L192" s="546">
        <v>0</v>
      </c>
      <c r="M192" s="546">
        <v>0</v>
      </c>
      <c r="N192" s="546">
        <v>0</v>
      </c>
      <c r="O192" s="546">
        <v>0</v>
      </c>
      <c r="P192" s="548">
        <v>0</v>
      </c>
      <c r="Q192" s="548">
        <v>0</v>
      </c>
      <c r="R192" s="548">
        <v>0</v>
      </c>
      <c r="S192" s="548"/>
      <c r="T192" s="829">
        <v>795</v>
      </c>
    </row>
    <row r="193" spans="1:25" x14ac:dyDescent="0.25">
      <c r="A193" s="687" t="s">
        <v>258</v>
      </c>
      <c r="B193" s="688" t="s">
        <v>1149</v>
      </c>
      <c r="C193" s="543">
        <v>6000</v>
      </c>
      <c r="D193" s="544">
        <v>6000</v>
      </c>
      <c r="E193" s="547">
        <v>130.19999999999999</v>
      </c>
      <c r="F193" s="686">
        <v>2500</v>
      </c>
      <c r="G193" s="544"/>
      <c r="H193" s="546">
        <v>0</v>
      </c>
      <c r="I193" s="546">
        <v>0</v>
      </c>
      <c r="J193" s="548">
        <v>0</v>
      </c>
      <c r="K193" s="548">
        <v>0</v>
      </c>
      <c r="L193" s="548">
        <v>0</v>
      </c>
      <c r="M193" s="548">
        <v>0</v>
      </c>
      <c r="N193" s="548">
        <v>0</v>
      </c>
      <c r="O193" s="548">
        <v>0</v>
      </c>
      <c r="P193" s="548">
        <v>0</v>
      </c>
      <c r="Q193" s="548">
        <v>0</v>
      </c>
      <c r="R193" s="548">
        <v>0</v>
      </c>
      <c r="S193" s="548"/>
      <c r="T193" s="829">
        <v>1611.86</v>
      </c>
    </row>
    <row r="194" spans="1:25" x14ac:dyDescent="0.25">
      <c r="A194" s="541" t="s">
        <v>1150</v>
      </c>
      <c r="B194" s="542" t="s">
        <v>1151</v>
      </c>
      <c r="C194" s="543">
        <v>500</v>
      </c>
      <c r="D194" s="544">
        <v>500</v>
      </c>
      <c r="E194" s="547">
        <v>0</v>
      </c>
      <c r="F194" s="544">
        <v>300</v>
      </c>
      <c r="G194" s="544"/>
      <c r="H194" s="546">
        <v>0</v>
      </c>
      <c r="I194" s="546">
        <v>0</v>
      </c>
      <c r="J194" s="548">
        <v>0</v>
      </c>
      <c r="K194" s="548">
        <v>0</v>
      </c>
      <c r="L194" s="548">
        <v>0</v>
      </c>
      <c r="M194" s="548">
        <v>0</v>
      </c>
      <c r="N194" s="548">
        <v>0</v>
      </c>
      <c r="O194" s="548">
        <v>0</v>
      </c>
      <c r="P194" s="548">
        <v>0</v>
      </c>
      <c r="Q194" s="548">
        <v>0</v>
      </c>
      <c r="R194" s="548">
        <v>0</v>
      </c>
      <c r="S194" s="548"/>
      <c r="T194" s="829">
        <v>0</v>
      </c>
    </row>
    <row r="195" spans="1:25" x14ac:dyDescent="0.25">
      <c r="A195" s="687" t="s">
        <v>290</v>
      </c>
      <c r="B195" s="688" t="s">
        <v>1152</v>
      </c>
      <c r="C195" s="689">
        <v>3000</v>
      </c>
      <c r="D195" s="686">
        <v>3000</v>
      </c>
      <c r="E195" s="690">
        <v>24</v>
      </c>
      <c r="F195" s="686">
        <v>1500</v>
      </c>
      <c r="G195" s="544"/>
      <c r="H195" s="546">
        <v>0</v>
      </c>
      <c r="I195" s="546">
        <v>0</v>
      </c>
      <c r="J195" s="548">
        <v>0</v>
      </c>
      <c r="K195" s="548">
        <v>0</v>
      </c>
      <c r="L195" s="548">
        <v>0</v>
      </c>
      <c r="M195" s="548">
        <v>0</v>
      </c>
      <c r="N195" s="548">
        <v>0</v>
      </c>
      <c r="O195" s="548">
        <v>0</v>
      </c>
      <c r="P195" s="548">
        <v>0</v>
      </c>
      <c r="Q195" s="548">
        <v>0</v>
      </c>
      <c r="R195" s="548">
        <v>0</v>
      </c>
      <c r="S195" s="548"/>
      <c r="T195" s="829">
        <v>643</v>
      </c>
    </row>
    <row r="196" spans="1:25" x14ac:dyDescent="0.25">
      <c r="A196" s="687" t="s">
        <v>311</v>
      </c>
      <c r="B196" s="688" t="s">
        <v>1153</v>
      </c>
      <c r="C196" s="689">
        <v>1000</v>
      </c>
      <c r="D196" s="686">
        <v>1000</v>
      </c>
      <c r="E196" s="690">
        <v>0</v>
      </c>
      <c r="F196" s="686">
        <v>200</v>
      </c>
      <c r="G196" s="544"/>
      <c r="H196" s="546">
        <v>0</v>
      </c>
      <c r="I196" s="546">
        <v>0</v>
      </c>
      <c r="J196" s="548">
        <v>0</v>
      </c>
      <c r="K196" s="548">
        <v>0</v>
      </c>
      <c r="L196" s="548">
        <v>0</v>
      </c>
      <c r="M196" s="548">
        <v>0</v>
      </c>
      <c r="N196" s="548">
        <v>0</v>
      </c>
      <c r="O196" s="548">
        <v>0</v>
      </c>
      <c r="P196" s="548">
        <v>0</v>
      </c>
      <c r="Q196" s="548">
        <v>0</v>
      </c>
      <c r="R196" s="548">
        <v>8.98</v>
      </c>
      <c r="S196" s="548"/>
      <c r="T196" s="829">
        <v>8.98</v>
      </c>
    </row>
    <row r="197" spans="1:25" x14ac:dyDescent="0.25">
      <c r="A197" s="541" t="s">
        <v>1154</v>
      </c>
      <c r="B197" s="542" t="s">
        <v>1155</v>
      </c>
      <c r="C197" s="543">
        <v>200</v>
      </c>
      <c r="D197" s="544">
        <v>200</v>
      </c>
      <c r="E197" s="547">
        <v>0</v>
      </c>
      <c r="F197" s="544">
        <v>100</v>
      </c>
      <c r="G197" s="544"/>
      <c r="H197" s="546">
        <v>0</v>
      </c>
      <c r="I197" s="546">
        <v>0</v>
      </c>
      <c r="J197" s="548">
        <v>0</v>
      </c>
      <c r="K197" s="548">
        <v>0</v>
      </c>
      <c r="L197" s="548">
        <v>0</v>
      </c>
      <c r="M197" s="548">
        <v>0</v>
      </c>
      <c r="N197" s="548">
        <v>0</v>
      </c>
      <c r="O197" s="548">
        <v>0</v>
      </c>
      <c r="P197" s="548">
        <v>0</v>
      </c>
      <c r="Q197" s="548">
        <v>0</v>
      </c>
      <c r="R197" s="548">
        <v>0</v>
      </c>
      <c r="S197" s="548"/>
      <c r="T197" s="829">
        <v>0</v>
      </c>
    </row>
    <row r="198" spans="1:25" s="461" customFormat="1" x14ac:dyDescent="0.25">
      <c r="A198" s="549" t="s">
        <v>1156</v>
      </c>
      <c r="B198" s="550" t="s">
        <v>1157</v>
      </c>
      <c r="C198" s="551"/>
      <c r="D198" s="552"/>
      <c r="E198" s="566"/>
      <c r="F198" s="552"/>
      <c r="G198" s="552"/>
      <c r="H198" s="558"/>
      <c r="I198" s="558"/>
      <c r="J198" s="558"/>
      <c r="K198" s="558"/>
      <c r="L198" s="558"/>
      <c r="M198" s="558"/>
      <c r="N198" s="558"/>
      <c r="O198" s="558"/>
      <c r="P198" s="558"/>
      <c r="Q198" s="558"/>
      <c r="R198" s="580"/>
      <c r="S198" s="558"/>
      <c r="T198" s="833"/>
      <c r="U198" s="459" t="s">
        <v>559</v>
      </c>
      <c r="V198" s="460" t="s">
        <v>1366</v>
      </c>
      <c r="W198" s="663">
        <f>F199+F209+F219+F229+F239</f>
        <v>70000</v>
      </c>
    </row>
    <row r="199" spans="1:25" x14ac:dyDescent="0.25">
      <c r="A199" s="700" t="s">
        <v>1158</v>
      </c>
      <c r="B199" s="701" t="s">
        <v>1159</v>
      </c>
      <c r="C199" s="543">
        <v>20000</v>
      </c>
      <c r="D199" s="544">
        <v>20000</v>
      </c>
      <c r="E199" s="547">
        <v>16438.330000000002</v>
      </c>
      <c r="F199" s="686">
        <v>20000</v>
      </c>
      <c r="G199" s="544"/>
      <c r="H199" s="548">
        <v>1085</v>
      </c>
      <c r="I199" s="548">
        <v>3150</v>
      </c>
      <c r="J199" s="548">
        <v>4695</v>
      </c>
      <c r="K199" s="548">
        <v>5895</v>
      </c>
      <c r="L199" s="548">
        <v>6678.33</v>
      </c>
      <c r="M199" s="548">
        <v>7968.33</v>
      </c>
      <c r="N199" s="548">
        <v>7968.33</v>
      </c>
      <c r="O199" s="548">
        <v>9118.33</v>
      </c>
      <c r="P199" s="548">
        <v>10393.33</v>
      </c>
      <c r="Q199" s="548">
        <v>11523.33</v>
      </c>
      <c r="R199" s="548">
        <v>12788.33</v>
      </c>
      <c r="S199" s="548"/>
      <c r="T199" s="829">
        <v>15283.33</v>
      </c>
      <c r="U199" s="435" t="s">
        <v>1369</v>
      </c>
    </row>
    <row r="200" spans="1:25" x14ac:dyDescent="0.25">
      <c r="A200" s="700" t="s">
        <v>248</v>
      </c>
      <c r="B200" s="701" t="s">
        <v>1160</v>
      </c>
      <c r="C200" s="543">
        <v>20000</v>
      </c>
      <c r="D200" s="544">
        <v>15000</v>
      </c>
      <c r="E200" s="547">
        <v>10055.129999999999</v>
      </c>
      <c r="F200" s="686">
        <v>14000</v>
      </c>
      <c r="G200" s="544"/>
      <c r="H200" s="548">
        <v>241.13</v>
      </c>
      <c r="I200" s="548">
        <v>2083</v>
      </c>
      <c r="J200" s="548">
        <v>4006.35</v>
      </c>
      <c r="K200" s="548">
        <v>4018.35</v>
      </c>
      <c r="L200" s="548">
        <v>4876.1899999999996</v>
      </c>
      <c r="M200" s="548">
        <v>5545.38</v>
      </c>
      <c r="N200" s="548">
        <v>5545.38</v>
      </c>
      <c r="O200" s="548">
        <v>5923.38</v>
      </c>
      <c r="P200" s="548">
        <v>6372.68</v>
      </c>
      <c r="Q200" s="548">
        <v>6726.43</v>
      </c>
      <c r="R200" s="548">
        <v>7481.96</v>
      </c>
      <c r="S200" s="548"/>
      <c r="T200" s="829">
        <v>8591.16</v>
      </c>
      <c r="U200" s="435" t="s">
        <v>1366</v>
      </c>
    </row>
    <row r="201" spans="1:25" x14ac:dyDescent="0.25">
      <c r="A201" s="572" t="s">
        <v>1161</v>
      </c>
      <c r="B201" s="727" t="s">
        <v>1162</v>
      </c>
      <c r="C201" s="689">
        <v>30000</v>
      </c>
      <c r="D201" s="686">
        <v>45000</v>
      </c>
      <c r="E201" s="690">
        <v>39653.15</v>
      </c>
      <c r="F201" s="686">
        <v>45000</v>
      </c>
      <c r="G201" s="544"/>
      <c r="H201" s="548">
        <v>0</v>
      </c>
      <c r="I201" s="548">
        <v>0</v>
      </c>
      <c r="J201" s="548">
        <v>0</v>
      </c>
      <c r="K201" s="548">
        <v>798.75</v>
      </c>
      <c r="L201" s="548">
        <v>6378.75</v>
      </c>
      <c r="M201" s="548">
        <v>17550</v>
      </c>
      <c r="N201" s="548">
        <v>17550</v>
      </c>
      <c r="O201" s="548">
        <v>19147.5</v>
      </c>
      <c r="P201" s="548">
        <v>19147.5</v>
      </c>
      <c r="Q201" s="548">
        <v>19147.5</v>
      </c>
      <c r="R201" s="548">
        <v>24097.5</v>
      </c>
      <c r="S201" s="548"/>
      <c r="T201" s="829">
        <v>41821.25</v>
      </c>
      <c r="U201" s="692" t="s">
        <v>1370</v>
      </c>
      <c r="V201" s="692" t="s">
        <v>142</v>
      </c>
      <c r="W201" s="692" t="s">
        <v>145</v>
      </c>
      <c r="X201" s="692" t="s">
        <v>148</v>
      </c>
      <c r="Y201" s="692" t="s">
        <v>1371</v>
      </c>
    </row>
    <row r="202" spans="1:25" x14ac:dyDescent="0.25">
      <c r="A202" s="700" t="s">
        <v>274</v>
      </c>
      <c r="B202" s="701" t="s">
        <v>1163</v>
      </c>
      <c r="C202" s="689">
        <v>5500</v>
      </c>
      <c r="D202" s="686">
        <v>5500</v>
      </c>
      <c r="E202" s="690">
        <v>2644</v>
      </c>
      <c r="F202" s="686">
        <v>3000</v>
      </c>
      <c r="G202" s="544"/>
      <c r="H202" s="548">
        <v>168</v>
      </c>
      <c r="I202" s="548">
        <v>240</v>
      </c>
      <c r="J202" s="548">
        <v>240</v>
      </c>
      <c r="K202" s="548">
        <v>240</v>
      </c>
      <c r="L202" s="548">
        <v>408</v>
      </c>
      <c r="M202" s="548">
        <v>408</v>
      </c>
      <c r="N202" s="548">
        <v>408</v>
      </c>
      <c r="O202" s="548">
        <v>408</v>
      </c>
      <c r="P202" s="548">
        <v>600</v>
      </c>
      <c r="Q202" s="548">
        <v>648</v>
      </c>
      <c r="R202" s="548">
        <v>936</v>
      </c>
      <c r="S202" s="548"/>
      <c r="T202" s="829">
        <v>1120</v>
      </c>
    </row>
    <row r="203" spans="1:25" x14ac:dyDescent="0.25">
      <c r="A203" s="700" t="s">
        <v>301</v>
      </c>
      <c r="B203" s="704" t="s">
        <v>1164</v>
      </c>
      <c r="C203" s="689">
        <v>1000</v>
      </c>
      <c r="D203" s="686">
        <v>1000</v>
      </c>
      <c r="E203" s="690">
        <v>213.49</v>
      </c>
      <c r="F203" s="686">
        <v>2000</v>
      </c>
      <c r="G203" s="544"/>
      <c r="H203" s="548">
        <v>9.84</v>
      </c>
      <c r="I203" s="548">
        <v>107.46</v>
      </c>
      <c r="J203" s="548">
        <v>107.46</v>
      </c>
      <c r="K203" s="548">
        <v>107.46</v>
      </c>
      <c r="L203" s="548">
        <v>107.46</v>
      </c>
      <c r="M203" s="548">
        <v>107.46</v>
      </c>
      <c r="N203" s="548">
        <v>107.46</v>
      </c>
      <c r="O203" s="548">
        <v>107.46</v>
      </c>
      <c r="P203" s="548">
        <v>107.46</v>
      </c>
      <c r="Q203" s="548">
        <v>107.46</v>
      </c>
      <c r="R203" s="548">
        <v>118.19</v>
      </c>
      <c r="S203" s="548"/>
      <c r="T203" s="829">
        <v>118.19</v>
      </c>
      <c r="U203" s="435">
        <v>2300</v>
      </c>
    </row>
    <row r="204" spans="1:25" x14ac:dyDescent="0.25">
      <c r="A204" s="572" t="s">
        <v>390</v>
      </c>
      <c r="B204" s="726" t="s">
        <v>1165</v>
      </c>
      <c r="C204" s="689">
        <v>8000</v>
      </c>
      <c r="D204" s="686">
        <v>3000</v>
      </c>
      <c r="E204" s="690">
        <v>0</v>
      </c>
      <c r="F204" s="686">
        <v>4000</v>
      </c>
      <c r="G204" s="544"/>
      <c r="H204" s="548">
        <v>0</v>
      </c>
      <c r="I204" s="548">
        <v>0</v>
      </c>
      <c r="J204" s="548">
        <v>0</v>
      </c>
      <c r="K204" s="548">
        <v>0</v>
      </c>
      <c r="L204" s="548">
        <v>0</v>
      </c>
      <c r="M204" s="548">
        <v>0</v>
      </c>
      <c r="N204" s="548">
        <v>0</v>
      </c>
      <c r="O204" s="548">
        <v>0</v>
      </c>
      <c r="P204" s="548">
        <v>0</v>
      </c>
      <c r="Q204" s="548">
        <v>0</v>
      </c>
      <c r="R204" s="548">
        <v>0</v>
      </c>
      <c r="S204" s="548"/>
      <c r="T204" s="829">
        <v>0</v>
      </c>
    </row>
    <row r="205" spans="1:25" x14ac:dyDescent="0.25">
      <c r="A205" s="700" t="s">
        <v>378</v>
      </c>
      <c r="B205" s="701" t="s">
        <v>1166</v>
      </c>
      <c r="C205" s="689">
        <v>1500</v>
      </c>
      <c r="D205" s="686">
        <v>1500</v>
      </c>
      <c r="E205" s="690">
        <v>31.3</v>
      </c>
      <c r="F205" s="686">
        <v>300</v>
      </c>
      <c r="G205" s="544"/>
      <c r="H205" s="548">
        <v>0</v>
      </c>
      <c r="I205" s="548">
        <v>0</v>
      </c>
      <c r="J205" s="548">
        <v>0</v>
      </c>
      <c r="K205" s="548">
        <v>0</v>
      </c>
      <c r="L205" s="548">
        <v>0</v>
      </c>
      <c r="M205" s="548">
        <v>0</v>
      </c>
      <c r="N205" s="548">
        <v>0</v>
      </c>
      <c r="O205" s="548">
        <v>0</v>
      </c>
      <c r="P205" s="548">
        <v>0</v>
      </c>
      <c r="Q205" s="548">
        <v>0</v>
      </c>
      <c r="R205" s="548">
        <v>0</v>
      </c>
      <c r="S205" s="548"/>
      <c r="T205" s="829">
        <v>0</v>
      </c>
      <c r="V205" s="705"/>
    </row>
    <row r="206" spans="1:25" x14ac:dyDescent="0.25">
      <c r="A206" s="572" t="s">
        <v>1167</v>
      </c>
      <c r="B206" s="701" t="s">
        <v>1168</v>
      </c>
      <c r="C206" s="689">
        <v>2000</v>
      </c>
      <c r="D206" s="686">
        <v>17000</v>
      </c>
      <c r="E206" s="690">
        <v>16730.14</v>
      </c>
      <c r="F206" s="686">
        <v>4000</v>
      </c>
      <c r="G206" s="544"/>
      <c r="H206" s="548">
        <v>99</v>
      </c>
      <c r="I206" s="548">
        <v>851.9</v>
      </c>
      <c r="J206" s="548">
        <v>950.9</v>
      </c>
      <c r="K206" s="548">
        <v>1083.2</v>
      </c>
      <c r="L206" s="548">
        <v>1262.2</v>
      </c>
      <c r="M206" s="548">
        <v>1295.5</v>
      </c>
      <c r="N206" s="548">
        <v>1474.5</v>
      </c>
      <c r="O206" s="548">
        <v>1573.5</v>
      </c>
      <c r="P206" s="548">
        <v>1780.04</v>
      </c>
      <c r="Q206" s="548">
        <v>1879.04</v>
      </c>
      <c r="R206" s="548">
        <v>2000.18</v>
      </c>
      <c r="S206" s="556"/>
      <c r="T206" s="829">
        <v>2507.77</v>
      </c>
      <c r="V206" s="705"/>
    </row>
    <row r="207" spans="1:25" x14ac:dyDescent="0.25">
      <c r="A207" s="572" t="s">
        <v>1169</v>
      </c>
      <c r="B207" s="701" t="s">
        <v>1170</v>
      </c>
      <c r="C207" s="689">
        <v>500</v>
      </c>
      <c r="D207" s="686">
        <v>500</v>
      </c>
      <c r="E207" s="690">
        <v>0</v>
      </c>
      <c r="F207" s="686">
        <v>700</v>
      </c>
      <c r="G207" s="544"/>
      <c r="H207" s="548">
        <v>0</v>
      </c>
      <c r="I207" s="548">
        <v>0</v>
      </c>
      <c r="J207" s="548">
        <v>0</v>
      </c>
      <c r="K207" s="548">
        <v>0</v>
      </c>
      <c r="L207" s="548">
        <v>0</v>
      </c>
      <c r="M207" s="548">
        <v>0</v>
      </c>
      <c r="N207" s="548">
        <v>0</v>
      </c>
      <c r="O207" s="548">
        <v>0</v>
      </c>
      <c r="P207" s="548">
        <v>0</v>
      </c>
      <c r="Q207" s="548">
        <v>0</v>
      </c>
      <c r="R207" s="548">
        <v>0</v>
      </c>
      <c r="S207" s="548"/>
      <c r="T207" s="829">
        <v>0</v>
      </c>
      <c r="V207" s="705"/>
    </row>
    <row r="208" spans="1:25" s="461" customFormat="1" x14ac:dyDescent="0.25">
      <c r="A208" s="549" t="s">
        <v>1171</v>
      </c>
      <c r="B208" s="550" t="s">
        <v>1172</v>
      </c>
      <c r="C208" s="551"/>
      <c r="D208" s="552"/>
      <c r="E208" s="566"/>
      <c r="F208" s="552"/>
      <c r="G208" s="552"/>
      <c r="H208" s="558"/>
      <c r="I208" s="558"/>
      <c r="J208" s="558"/>
      <c r="K208" s="558"/>
      <c r="L208" s="558"/>
      <c r="M208" s="558"/>
      <c r="N208" s="558"/>
      <c r="O208" s="558"/>
      <c r="P208" s="558"/>
      <c r="Q208" s="558"/>
      <c r="R208" s="580"/>
      <c r="S208" s="558"/>
      <c r="T208" s="833"/>
      <c r="U208" s="459"/>
      <c r="V208" s="705"/>
    </row>
    <row r="209" spans="1:22" x14ac:dyDescent="0.25">
      <c r="A209" s="687" t="s">
        <v>1173</v>
      </c>
      <c r="B209" s="701" t="s">
        <v>1174</v>
      </c>
      <c r="C209" s="543">
        <v>11000</v>
      </c>
      <c r="D209" s="544">
        <v>11000</v>
      </c>
      <c r="E209" s="547">
        <v>7880</v>
      </c>
      <c r="F209" s="686">
        <v>11000</v>
      </c>
      <c r="G209" s="544"/>
      <c r="H209" s="548">
        <v>400</v>
      </c>
      <c r="I209" s="548">
        <v>700</v>
      </c>
      <c r="J209" s="548">
        <v>740</v>
      </c>
      <c r="K209" s="548">
        <v>760</v>
      </c>
      <c r="L209" s="548">
        <v>1160</v>
      </c>
      <c r="M209" s="548">
        <v>1180</v>
      </c>
      <c r="N209" s="548">
        <v>1980</v>
      </c>
      <c r="O209" s="548">
        <v>3320</v>
      </c>
      <c r="P209" s="548">
        <v>4200</v>
      </c>
      <c r="Q209" s="548">
        <v>5000</v>
      </c>
      <c r="R209" s="548">
        <v>5620</v>
      </c>
      <c r="S209" s="548"/>
      <c r="T209" s="829">
        <v>7280</v>
      </c>
      <c r="V209" s="705"/>
    </row>
    <row r="210" spans="1:22" x14ac:dyDescent="0.25">
      <c r="A210" s="687" t="s">
        <v>250</v>
      </c>
      <c r="B210" s="701" t="s">
        <v>1175</v>
      </c>
      <c r="C210" s="543">
        <v>3000</v>
      </c>
      <c r="D210" s="544">
        <v>3000</v>
      </c>
      <c r="E210" s="547">
        <v>75.33</v>
      </c>
      <c r="F210" s="686">
        <v>1000</v>
      </c>
      <c r="G210" s="544"/>
      <c r="H210" s="548">
        <v>0</v>
      </c>
      <c r="I210" s="548">
        <v>58.2</v>
      </c>
      <c r="J210" s="548">
        <v>127.2</v>
      </c>
      <c r="K210" s="548">
        <v>127.2</v>
      </c>
      <c r="L210" s="548">
        <v>174.92</v>
      </c>
      <c r="M210" s="548">
        <v>174.92</v>
      </c>
      <c r="N210" s="548">
        <v>174.92</v>
      </c>
      <c r="O210" s="548">
        <v>174.92</v>
      </c>
      <c r="P210" s="548">
        <v>219.92</v>
      </c>
      <c r="Q210" s="548">
        <v>219.92</v>
      </c>
      <c r="R210" s="548">
        <v>219.92</v>
      </c>
      <c r="S210" s="548"/>
      <c r="T210" s="829">
        <v>501.44</v>
      </c>
    </row>
    <row r="211" spans="1:22" x14ac:dyDescent="0.25">
      <c r="A211" s="541" t="s">
        <v>1176</v>
      </c>
      <c r="B211" s="727" t="s">
        <v>1177</v>
      </c>
      <c r="C211" s="689">
        <v>4000</v>
      </c>
      <c r="D211" s="686">
        <v>4000</v>
      </c>
      <c r="E211" s="690">
        <v>660</v>
      </c>
      <c r="F211" s="686">
        <v>3000</v>
      </c>
      <c r="G211" s="544"/>
      <c r="H211" s="548">
        <v>0</v>
      </c>
      <c r="I211" s="548">
        <v>0</v>
      </c>
      <c r="J211" s="548">
        <v>0</v>
      </c>
      <c r="K211" s="548">
        <v>0</v>
      </c>
      <c r="L211" s="548">
        <v>660</v>
      </c>
      <c r="M211" s="548">
        <v>1290</v>
      </c>
      <c r="N211" s="548">
        <v>1290</v>
      </c>
      <c r="O211" s="548">
        <v>1997.2</v>
      </c>
      <c r="P211" s="548">
        <v>2697.2</v>
      </c>
      <c r="Q211" s="548">
        <v>2697.2</v>
      </c>
      <c r="R211" s="548">
        <v>2862.2</v>
      </c>
      <c r="S211" s="548"/>
      <c r="T211" s="828">
        <v>4544.7</v>
      </c>
    </row>
    <row r="212" spans="1:22" x14ac:dyDescent="0.25">
      <c r="A212" s="687" t="s">
        <v>278</v>
      </c>
      <c r="B212" s="701" t="s">
        <v>1178</v>
      </c>
      <c r="C212" s="689">
        <v>1500</v>
      </c>
      <c r="D212" s="686">
        <v>1500</v>
      </c>
      <c r="E212" s="690">
        <v>0</v>
      </c>
      <c r="F212" s="686">
        <v>500</v>
      </c>
      <c r="G212" s="544"/>
      <c r="H212" s="548">
        <v>0</v>
      </c>
      <c r="I212" s="548">
        <v>0</v>
      </c>
      <c r="J212" s="548">
        <v>0</v>
      </c>
      <c r="K212" s="548">
        <v>0</v>
      </c>
      <c r="L212" s="548">
        <v>0</v>
      </c>
      <c r="M212" s="548">
        <v>0</v>
      </c>
      <c r="N212" s="548">
        <v>0</v>
      </c>
      <c r="O212" s="548">
        <v>0</v>
      </c>
      <c r="P212" s="548">
        <v>0</v>
      </c>
      <c r="Q212" s="548">
        <v>0</v>
      </c>
      <c r="R212" s="548">
        <v>0</v>
      </c>
      <c r="S212" s="548"/>
      <c r="T212" s="829">
        <v>302.39999999999998</v>
      </c>
    </row>
    <row r="213" spans="1:22" x14ac:dyDescent="0.25">
      <c r="A213" s="687" t="s">
        <v>303</v>
      </c>
      <c r="B213" s="704" t="s">
        <v>1179</v>
      </c>
      <c r="C213" s="689">
        <v>500</v>
      </c>
      <c r="D213" s="686">
        <v>500</v>
      </c>
      <c r="E213" s="690">
        <v>0</v>
      </c>
      <c r="F213" s="686">
        <v>100</v>
      </c>
      <c r="G213" s="544"/>
      <c r="H213" s="548">
        <v>0</v>
      </c>
      <c r="I213" s="548">
        <v>0</v>
      </c>
      <c r="J213" s="548">
        <v>0</v>
      </c>
      <c r="K213" s="548">
        <v>0</v>
      </c>
      <c r="L213" s="548">
        <v>0</v>
      </c>
      <c r="M213" s="548">
        <v>0</v>
      </c>
      <c r="N213" s="548">
        <v>0</v>
      </c>
      <c r="O213" s="548">
        <v>0</v>
      </c>
      <c r="P213" s="548">
        <v>0</v>
      </c>
      <c r="Q213" s="548">
        <v>0</v>
      </c>
      <c r="R213" s="548">
        <v>0</v>
      </c>
      <c r="S213" s="548"/>
      <c r="T213" s="829">
        <v>0</v>
      </c>
    </row>
    <row r="214" spans="1:22" x14ac:dyDescent="0.25">
      <c r="A214" s="541" t="s">
        <v>392</v>
      </c>
      <c r="B214" s="726" t="s">
        <v>1180</v>
      </c>
      <c r="C214" s="689">
        <v>1000</v>
      </c>
      <c r="D214" s="686">
        <v>1000</v>
      </c>
      <c r="E214" s="690">
        <v>0</v>
      </c>
      <c r="F214" s="686">
        <v>500</v>
      </c>
      <c r="G214" s="544"/>
      <c r="H214" s="548">
        <v>0</v>
      </c>
      <c r="I214" s="548">
        <v>0</v>
      </c>
      <c r="J214" s="548">
        <v>0</v>
      </c>
      <c r="K214" s="548">
        <v>0</v>
      </c>
      <c r="L214" s="548">
        <v>0</v>
      </c>
      <c r="M214" s="548">
        <v>0</v>
      </c>
      <c r="N214" s="548">
        <v>0</v>
      </c>
      <c r="O214" s="548">
        <v>0</v>
      </c>
      <c r="P214" s="548">
        <v>0</v>
      </c>
      <c r="Q214" s="548">
        <v>0</v>
      </c>
      <c r="R214" s="548">
        <v>0</v>
      </c>
      <c r="S214" s="548"/>
      <c r="T214" s="829">
        <v>0</v>
      </c>
    </row>
    <row r="215" spans="1:22" x14ac:dyDescent="0.25">
      <c r="A215" s="541" t="s">
        <v>380</v>
      </c>
      <c r="B215" s="701" t="s">
        <v>1181</v>
      </c>
      <c r="C215" s="689">
        <v>1000</v>
      </c>
      <c r="D215" s="686">
        <v>1000</v>
      </c>
      <c r="E215" s="690">
        <v>0</v>
      </c>
      <c r="F215" s="686">
        <v>100</v>
      </c>
      <c r="G215" s="544"/>
      <c r="H215" s="548">
        <v>0</v>
      </c>
      <c r="I215" s="548">
        <v>0</v>
      </c>
      <c r="J215" s="548">
        <v>0</v>
      </c>
      <c r="K215" s="548">
        <v>0</v>
      </c>
      <c r="L215" s="548">
        <v>0</v>
      </c>
      <c r="M215" s="548">
        <v>0</v>
      </c>
      <c r="N215" s="548">
        <v>0</v>
      </c>
      <c r="O215" s="548">
        <v>0</v>
      </c>
      <c r="P215" s="548">
        <v>0</v>
      </c>
      <c r="Q215" s="548">
        <v>0</v>
      </c>
      <c r="R215" s="548">
        <v>0</v>
      </c>
      <c r="S215" s="548"/>
      <c r="T215" s="829">
        <v>0</v>
      </c>
    </row>
    <row r="216" spans="1:22" x14ac:dyDescent="0.25">
      <c r="A216" s="541" t="s">
        <v>1182</v>
      </c>
      <c r="B216" s="701" t="s">
        <v>1183</v>
      </c>
      <c r="C216" s="689">
        <v>2500</v>
      </c>
      <c r="D216" s="686">
        <v>2500</v>
      </c>
      <c r="E216" s="690">
        <v>0</v>
      </c>
      <c r="F216" s="686">
        <v>500</v>
      </c>
      <c r="G216" s="544"/>
      <c r="H216" s="548">
        <v>0</v>
      </c>
      <c r="I216" s="548">
        <v>30</v>
      </c>
      <c r="J216" s="548">
        <v>30</v>
      </c>
      <c r="K216" s="548">
        <v>30</v>
      </c>
      <c r="L216" s="548">
        <v>30</v>
      </c>
      <c r="M216" s="548">
        <v>30</v>
      </c>
      <c r="N216" s="548">
        <v>30</v>
      </c>
      <c r="O216" s="548">
        <v>30</v>
      </c>
      <c r="P216" s="548">
        <v>30</v>
      </c>
      <c r="Q216" s="548">
        <v>30</v>
      </c>
      <c r="R216" s="548">
        <v>30</v>
      </c>
      <c r="S216" s="548"/>
      <c r="T216" s="829">
        <v>30</v>
      </c>
    </row>
    <row r="217" spans="1:22" x14ac:dyDescent="0.25">
      <c r="A217" s="541" t="s">
        <v>1184</v>
      </c>
      <c r="B217" s="701" t="s">
        <v>1185</v>
      </c>
      <c r="C217" s="689">
        <v>1000</v>
      </c>
      <c r="D217" s="686">
        <v>1000</v>
      </c>
      <c r="E217" s="690">
        <v>0</v>
      </c>
      <c r="F217" s="686">
        <v>200</v>
      </c>
      <c r="G217" s="544"/>
      <c r="H217" s="548">
        <v>0</v>
      </c>
      <c r="I217" s="548">
        <v>0</v>
      </c>
      <c r="J217" s="548">
        <v>0</v>
      </c>
      <c r="K217" s="548">
        <v>0</v>
      </c>
      <c r="L217" s="548">
        <v>0</v>
      </c>
      <c r="M217" s="548">
        <v>0</v>
      </c>
      <c r="N217" s="548">
        <v>0</v>
      </c>
      <c r="O217" s="548">
        <v>0</v>
      </c>
      <c r="P217" s="548">
        <v>0</v>
      </c>
      <c r="Q217" s="548">
        <v>0</v>
      </c>
      <c r="R217" s="548">
        <v>0</v>
      </c>
      <c r="S217" s="548"/>
      <c r="T217" s="829">
        <v>0</v>
      </c>
    </row>
    <row r="218" spans="1:22" s="461" customFormat="1" x14ac:dyDescent="0.25">
      <c r="A218" s="549" t="s">
        <v>1186</v>
      </c>
      <c r="B218" s="550" t="s">
        <v>1187</v>
      </c>
      <c r="C218" s="551"/>
      <c r="D218" s="552"/>
      <c r="E218" s="566"/>
      <c r="F218" s="552"/>
      <c r="G218" s="552"/>
      <c r="H218" s="558"/>
      <c r="I218" s="558"/>
      <c r="J218" s="558"/>
      <c r="K218" s="558"/>
      <c r="L218" s="558"/>
      <c r="M218" s="558"/>
      <c r="N218" s="558"/>
      <c r="O218" s="558"/>
      <c r="P218" s="558"/>
      <c r="Q218" s="558"/>
      <c r="R218" s="580"/>
      <c r="S218" s="558"/>
      <c r="T218" s="833"/>
      <c r="U218" s="459"/>
      <c r="V218" s="460"/>
    </row>
    <row r="219" spans="1:22" x14ac:dyDescent="0.25">
      <c r="A219" s="687" t="s">
        <v>1188</v>
      </c>
      <c r="B219" s="704" t="s">
        <v>1189</v>
      </c>
      <c r="C219" s="689">
        <v>12000</v>
      </c>
      <c r="D219" s="686">
        <v>12000</v>
      </c>
      <c r="E219" s="696">
        <v>9980</v>
      </c>
      <c r="F219" s="686">
        <v>12000</v>
      </c>
      <c r="G219" s="544"/>
      <c r="H219" s="546">
        <v>800</v>
      </c>
      <c r="I219" s="546">
        <v>1660</v>
      </c>
      <c r="J219" s="546">
        <v>2990</v>
      </c>
      <c r="K219" s="546">
        <v>3970</v>
      </c>
      <c r="L219" s="546">
        <v>4990</v>
      </c>
      <c r="M219" s="546">
        <v>5790</v>
      </c>
      <c r="N219" s="546">
        <v>5790</v>
      </c>
      <c r="O219" s="546">
        <v>6970</v>
      </c>
      <c r="P219" s="546">
        <v>7990</v>
      </c>
      <c r="Q219" s="546">
        <v>8970</v>
      </c>
      <c r="R219" s="567">
        <v>10210</v>
      </c>
      <c r="S219" s="546"/>
      <c r="T219" s="828">
        <v>12610</v>
      </c>
    </row>
    <row r="220" spans="1:22" x14ac:dyDescent="0.25">
      <c r="A220" s="687" t="s">
        <v>252</v>
      </c>
      <c r="B220" s="704" t="s">
        <v>1190</v>
      </c>
      <c r="C220" s="689">
        <v>5000</v>
      </c>
      <c r="D220" s="686">
        <v>5000</v>
      </c>
      <c r="E220" s="696">
        <v>0</v>
      </c>
      <c r="F220" s="686">
        <v>1500</v>
      </c>
      <c r="G220" s="544"/>
      <c r="H220" s="546">
        <v>0</v>
      </c>
      <c r="I220" s="546">
        <v>31.8</v>
      </c>
      <c r="J220" s="546">
        <v>175.3</v>
      </c>
      <c r="K220" s="546">
        <v>175.3</v>
      </c>
      <c r="L220" s="546">
        <v>175.3</v>
      </c>
      <c r="M220" s="546">
        <v>174.7</v>
      </c>
      <c r="N220" s="546">
        <v>174.7</v>
      </c>
      <c r="O220" s="546">
        <v>313.39999999999998</v>
      </c>
      <c r="P220" s="546">
        <v>313.39999999999998</v>
      </c>
      <c r="Q220" s="546">
        <v>313.39999999999998</v>
      </c>
      <c r="R220" s="567">
        <v>627.16</v>
      </c>
      <c r="S220" s="546"/>
      <c r="T220" s="835">
        <v>897.76</v>
      </c>
    </row>
    <row r="221" spans="1:22" x14ac:dyDescent="0.25">
      <c r="A221" s="541" t="s">
        <v>1191</v>
      </c>
      <c r="B221" s="726" t="s">
        <v>1192</v>
      </c>
      <c r="C221" s="689">
        <v>13000</v>
      </c>
      <c r="D221" s="686">
        <v>18000</v>
      </c>
      <c r="E221" s="695">
        <v>21240</v>
      </c>
      <c r="F221" s="686">
        <v>23000</v>
      </c>
      <c r="G221" s="544"/>
      <c r="H221" s="546">
        <v>0</v>
      </c>
      <c r="I221" s="546">
        <v>0</v>
      </c>
      <c r="J221" s="546">
        <v>0</v>
      </c>
      <c r="K221" s="546">
        <v>0</v>
      </c>
      <c r="L221" s="546">
        <v>0</v>
      </c>
      <c r="M221" s="546">
        <v>0</v>
      </c>
      <c r="N221" s="546">
        <v>2835</v>
      </c>
      <c r="O221" s="546">
        <v>2835</v>
      </c>
      <c r="P221" s="546">
        <v>10395</v>
      </c>
      <c r="Q221" s="546">
        <v>10395</v>
      </c>
      <c r="R221" s="567">
        <v>11835</v>
      </c>
      <c r="S221" s="546"/>
      <c r="T221" s="835">
        <v>22905</v>
      </c>
    </row>
    <row r="222" spans="1:22" x14ac:dyDescent="0.25">
      <c r="A222" s="687" t="s">
        <v>281</v>
      </c>
      <c r="B222" s="704" t="s">
        <v>1193</v>
      </c>
      <c r="C222" s="689">
        <v>2000</v>
      </c>
      <c r="D222" s="686">
        <v>2000</v>
      </c>
      <c r="E222" s="696">
        <v>0</v>
      </c>
      <c r="F222" s="686">
        <v>500</v>
      </c>
      <c r="G222" s="544"/>
      <c r="H222" s="546">
        <v>0</v>
      </c>
      <c r="I222" s="546">
        <v>0</v>
      </c>
      <c r="J222" s="546">
        <v>114</v>
      </c>
      <c r="K222" s="546">
        <v>114</v>
      </c>
      <c r="L222" s="546">
        <v>114</v>
      </c>
      <c r="M222" s="546">
        <v>114</v>
      </c>
      <c r="N222" s="546">
        <v>114</v>
      </c>
      <c r="O222" s="546">
        <v>179</v>
      </c>
      <c r="P222" s="546">
        <v>179</v>
      </c>
      <c r="Q222" s="546">
        <v>179</v>
      </c>
      <c r="R222" s="567">
        <v>179</v>
      </c>
      <c r="S222" s="546"/>
      <c r="T222" s="828">
        <v>551</v>
      </c>
    </row>
    <row r="223" spans="1:22" x14ac:dyDescent="0.25">
      <c r="A223" s="687" t="s">
        <v>305</v>
      </c>
      <c r="B223" s="704" t="s">
        <v>1194</v>
      </c>
      <c r="C223" s="689">
        <v>2000</v>
      </c>
      <c r="D223" s="686">
        <v>2000</v>
      </c>
      <c r="E223" s="696">
        <v>0</v>
      </c>
      <c r="F223" s="686">
        <v>500</v>
      </c>
      <c r="G223" s="544"/>
      <c r="H223" s="546">
        <v>0</v>
      </c>
      <c r="I223" s="546">
        <v>0</v>
      </c>
      <c r="J223" s="546">
        <v>0</v>
      </c>
      <c r="K223" s="546">
        <v>0</v>
      </c>
      <c r="L223" s="546">
        <v>0</v>
      </c>
      <c r="M223" s="546">
        <v>0</v>
      </c>
      <c r="N223" s="546">
        <v>0</v>
      </c>
      <c r="O223" s="546">
        <v>0</v>
      </c>
      <c r="P223" s="546">
        <v>0</v>
      </c>
      <c r="Q223" s="546">
        <v>0</v>
      </c>
      <c r="R223" s="567">
        <v>0</v>
      </c>
      <c r="S223" s="546"/>
      <c r="T223" s="835">
        <v>0</v>
      </c>
    </row>
    <row r="224" spans="1:22" x14ac:dyDescent="0.25">
      <c r="A224" s="541" t="s">
        <v>394</v>
      </c>
      <c r="B224" s="726" t="s">
        <v>1195</v>
      </c>
      <c r="C224" s="689">
        <v>2500</v>
      </c>
      <c r="D224" s="686">
        <v>2500</v>
      </c>
      <c r="E224" s="696">
        <v>0</v>
      </c>
      <c r="F224" s="686">
        <v>2000</v>
      </c>
      <c r="G224" s="544"/>
      <c r="H224" s="546">
        <v>0</v>
      </c>
      <c r="I224" s="546">
        <v>0</v>
      </c>
      <c r="J224" s="546">
        <v>0</v>
      </c>
      <c r="K224" s="546">
        <v>0</v>
      </c>
      <c r="L224" s="546">
        <v>0</v>
      </c>
      <c r="M224" s="546">
        <v>0</v>
      </c>
      <c r="N224" s="546">
        <v>0</v>
      </c>
      <c r="O224" s="546">
        <v>0</v>
      </c>
      <c r="P224" s="546">
        <v>0</v>
      </c>
      <c r="Q224" s="546">
        <v>0</v>
      </c>
      <c r="R224" s="567">
        <v>0</v>
      </c>
      <c r="S224" s="546"/>
      <c r="T224" s="835">
        <v>0</v>
      </c>
    </row>
    <row r="225" spans="1:22" x14ac:dyDescent="0.25">
      <c r="A225" s="541" t="s">
        <v>382</v>
      </c>
      <c r="B225" s="704" t="s">
        <v>1196</v>
      </c>
      <c r="C225" s="689">
        <v>3000</v>
      </c>
      <c r="D225" s="686">
        <v>3000</v>
      </c>
      <c r="E225" s="696">
        <v>0</v>
      </c>
      <c r="F225" s="686">
        <v>200</v>
      </c>
      <c r="G225" s="544"/>
      <c r="H225" s="546">
        <v>0</v>
      </c>
      <c r="I225" s="546">
        <v>0</v>
      </c>
      <c r="J225" s="546">
        <v>0</v>
      </c>
      <c r="K225" s="546">
        <v>0</v>
      </c>
      <c r="L225" s="546">
        <v>0</v>
      </c>
      <c r="M225" s="546">
        <v>0</v>
      </c>
      <c r="N225" s="546">
        <v>0</v>
      </c>
      <c r="O225" s="546">
        <v>0</v>
      </c>
      <c r="P225" s="546">
        <v>0</v>
      </c>
      <c r="Q225" s="546">
        <v>0</v>
      </c>
      <c r="R225" s="567">
        <v>0</v>
      </c>
      <c r="S225" s="546"/>
      <c r="T225" s="835">
        <v>0</v>
      </c>
    </row>
    <row r="226" spans="1:22" x14ac:dyDescent="0.25">
      <c r="A226" s="541" t="s">
        <v>1197</v>
      </c>
      <c r="B226" s="704" t="s">
        <v>1198</v>
      </c>
      <c r="C226" s="689">
        <v>5000</v>
      </c>
      <c r="D226" s="686">
        <v>5000</v>
      </c>
      <c r="E226" s="696">
        <v>0</v>
      </c>
      <c r="F226" s="686">
        <v>1000</v>
      </c>
      <c r="G226" s="544"/>
      <c r="H226" s="546">
        <v>0</v>
      </c>
      <c r="I226" s="546">
        <v>0</v>
      </c>
      <c r="J226" s="546">
        <v>0</v>
      </c>
      <c r="K226" s="546">
        <v>0</v>
      </c>
      <c r="L226" s="546">
        <v>0</v>
      </c>
      <c r="M226" s="546">
        <v>0</v>
      </c>
      <c r="N226" s="546">
        <v>0</v>
      </c>
      <c r="O226" s="546">
        <v>0</v>
      </c>
      <c r="P226" s="546">
        <v>0</v>
      </c>
      <c r="Q226" s="546">
        <v>0</v>
      </c>
      <c r="R226" s="567">
        <v>0</v>
      </c>
      <c r="S226" s="546"/>
      <c r="T226" s="835">
        <v>30</v>
      </c>
    </row>
    <row r="227" spans="1:22" x14ac:dyDescent="0.25">
      <c r="A227" s="541" t="s">
        <v>1199</v>
      </c>
      <c r="B227" s="704" t="s">
        <v>1200</v>
      </c>
      <c r="C227" s="689">
        <v>1000</v>
      </c>
      <c r="D227" s="686">
        <v>1000</v>
      </c>
      <c r="E227" s="696">
        <v>0</v>
      </c>
      <c r="F227" s="686">
        <v>500</v>
      </c>
      <c r="G227" s="544"/>
      <c r="H227" s="546">
        <v>0</v>
      </c>
      <c r="I227" s="546">
        <v>0</v>
      </c>
      <c r="J227" s="546">
        <v>0</v>
      </c>
      <c r="K227" s="546">
        <v>0</v>
      </c>
      <c r="L227" s="546">
        <v>0</v>
      </c>
      <c r="M227" s="546">
        <v>0</v>
      </c>
      <c r="N227" s="546">
        <v>0</v>
      </c>
      <c r="O227" s="546">
        <v>0</v>
      </c>
      <c r="P227" s="546">
        <v>0</v>
      </c>
      <c r="Q227" s="546">
        <v>0</v>
      </c>
      <c r="R227" s="567">
        <v>0</v>
      </c>
      <c r="S227" s="546"/>
      <c r="T227" s="835">
        <v>0</v>
      </c>
    </row>
    <row r="228" spans="1:22" s="461" customFormat="1" x14ac:dyDescent="0.25">
      <c r="A228" s="549" t="s">
        <v>1201</v>
      </c>
      <c r="B228" s="550" t="s">
        <v>1202</v>
      </c>
      <c r="C228" s="551"/>
      <c r="D228" s="552"/>
      <c r="E228" s="566"/>
      <c r="F228" s="552"/>
      <c r="G228" s="552"/>
      <c r="H228" s="558"/>
      <c r="I228" s="559"/>
      <c r="J228" s="559"/>
      <c r="K228" s="559"/>
      <c r="L228" s="559"/>
      <c r="M228" s="559"/>
      <c r="N228" s="559"/>
      <c r="O228" s="559"/>
      <c r="P228" s="558"/>
      <c r="Q228" s="558"/>
      <c r="R228" s="580"/>
      <c r="S228" s="558"/>
      <c r="T228" s="833"/>
      <c r="U228" s="459"/>
      <c r="V228" s="460"/>
    </row>
    <row r="229" spans="1:22" x14ac:dyDescent="0.25">
      <c r="A229" s="687" t="s">
        <v>1203</v>
      </c>
      <c r="B229" s="704" t="s">
        <v>1204</v>
      </c>
      <c r="C229" s="543">
        <v>20000</v>
      </c>
      <c r="D229" s="544">
        <v>20000</v>
      </c>
      <c r="E229" s="547">
        <v>10865</v>
      </c>
      <c r="F229" s="686">
        <v>14000</v>
      </c>
      <c r="G229" s="544"/>
      <c r="H229" s="548">
        <v>890</v>
      </c>
      <c r="I229" s="548">
        <v>2400</v>
      </c>
      <c r="J229" s="548">
        <v>3200</v>
      </c>
      <c r="K229" s="548">
        <v>4220</v>
      </c>
      <c r="L229" s="548">
        <v>5085</v>
      </c>
      <c r="M229" s="548">
        <v>6035</v>
      </c>
      <c r="N229" s="548">
        <v>6140</v>
      </c>
      <c r="O229" s="548">
        <v>6940</v>
      </c>
      <c r="P229" s="548">
        <v>7950</v>
      </c>
      <c r="Q229" s="548">
        <v>8860</v>
      </c>
      <c r="R229" s="548">
        <v>9725</v>
      </c>
      <c r="S229" s="548"/>
      <c r="T229" s="829">
        <v>11870</v>
      </c>
    </row>
    <row r="230" spans="1:22" x14ac:dyDescent="0.25">
      <c r="A230" s="687" t="s">
        <v>254</v>
      </c>
      <c r="B230" s="704" t="s">
        <v>1205</v>
      </c>
      <c r="C230" s="543">
        <v>15000</v>
      </c>
      <c r="D230" s="544">
        <v>15000</v>
      </c>
      <c r="E230" s="547">
        <v>2447.61</v>
      </c>
      <c r="F230" s="686">
        <v>8000</v>
      </c>
      <c r="G230" s="544"/>
      <c r="H230" s="548">
        <v>106.2</v>
      </c>
      <c r="I230" s="548">
        <v>677.5</v>
      </c>
      <c r="J230" s="548">
        <v>677.5</v>
      </c>
      <c r="K230" s="548">
        <v>677.5</v>
      </c>
      <c r="L230" s="548">
        <v>1048.3</v>
      </c>
      <c r="M230" s="548">
        <v>1060.3</v>
      </c>
      <c r="N230" s="548">
        <v>1242.7</v>
      </c>
      <c r="O230" s="548">
        <v>1242.7</v>
      </c>
      <c r="P230" s="548">
        <v>1429.9</v>
      </c>
      <c r="Q230" s="548">
        <v>1549.7</v>
      </c>
      <c r="R230" s="548">
        <v>1649.9</v>
      </c>
      <c r="S230" s="548"/>
      <c r="T230" s="829">
        <v>1852.7</v>
      </c>
    </row>
    <row r="231" spans="1:22" x14ac:dyDescent="0.25">
      <c r="A231" s="541" t="s">
        <v>1206</v>
      </c>
      <c r="B231" s="726" t="s">
        <v>1207</v>
      </c>
      <c r="C231" s="689">
        <v>25000</v>
      </c>
      <c r="D231" s="686">
        <v>40000</v>
      </c>
      <c r="E231" s="695">
        <v>45174.91</v>
      </c>
      <c r="F231" s="686">
        <v>42000</v>
      </c>
      <c r="G231" s="544"/>
      <c r="H231" s="548">
        <v>825</v>
      </c>
      <c r="I231" s="548">
        <v>825</v>
      </c>
      <c r="J231" s="548">
        <v>825</v>
      </c>
      <c r="K231" s="548">
        <v>2681.25</v>
      </c>
      <c r="L231" s="548">
        <v>3258.75</v>
      </c>
      <c r="M231" s="548">
        <v>17436.63</v>
      </c>
      <c r="N231" s="548">
        <v>16652.88</v>
      </c>
      <c r="O231" s="548">
        <v>17477.88</v>
      </c>
      <c r="P231" s="548">
        <v>18302.88</v>
      </c>
      <c r="Q231" s="548">
        <v>18302.88</v>
      </c>
      <c r="R231" s="548">
        <v>19114.13</v>
      </c>
      <c r="S231" s="548"/>
      <c r="T231" s="829">
        <v>25892.880000000001</v>
      </c>
    </row>
    <row r="232" spans="1:22" x14ac:dyDescent="0.25">
      <c r="A232" s="687" t="s">
        <v>284</v>
      </c>
      <c r="B232" s="704" t="s">
        <v>1208</v>
      </c>
      <c r="C232" s="689">
        <v>3500</v>
      </c>
      <c r="D232" s="686">
        <v>3500</v>
      </c>
      <c r="E232" s="690">
        <v>547</v>
      </c>
      <c r="F232" s="686">
        <v>2000</v>
      </c>
      <c r="G232" s="544"/>
      <c r="H232" s="548">
        <v>0</v>
      </c>
      <c r="I232" s="548">
        <v>0</v>
      </c>
      <c r="J232" s="548">
        <v>0</v>
      </c>
      <c r="K232" s="548">
        <v>0</v>
      </c>
      <c r="L232" s="548">
        <v>0</v>
      </c>
      <c r="M232" s="548">
        <v>0</v>
      </c>
      <c r="N232" s="548">
        <v>0</v>
      </c>
      <c r="O232" s="548">
        <v>72</v>
      </c>
      <c r="P232" s="548">
        <v>72</v>
      </c>
      <c r="Q232" s="548">
        <v>72</v>
      </c>
      <c r="R232" s="548">
        <v>72</v>
      </c>
      <c r="S232" s="548"/>
      <c r="T232" s="829">
        <v>144</v>
      </c>
    </row>
    <row r="233" spans="1:22" x14ac:dyDescent="0.25">
      <c r="A233" s="687" t="s">
        <v>307</v>
      </c>
      <c r="B233" s="704" t="s">
        <v>1209</v>
      </c>
      <c r="C233" s="689">
        <v>1000</v>
      </c>
      <c r="D233" s="686">
        <v>1000</v>
      </c>
      <c r="E233" s="690">
        <v>0</v>
      </c>
      <c r="F233" s="686">
        <v>500</v>
      </c>
      <c r="G233" s="544"/>
      <c r="H233" s="548">
        <v>0</v>
      </c>
      <c r="I233" s="548">
        <v>0</v>
      </c>
      <c r="J233" s="548">
        <v>0</v>
      </c>
      <c r="K233" s="548">
        <v>0</v>
      </c>
      <c r="L233" s="548">
        <v>24</v>
      </c>
      <c r="M233" s="548">
        <v>24</v>
      </c>
      <c r="N233" s="548">
        <v>48</v>
      </c>
      <c r="O233" s="548">
        <v>24</v>
      </c>
      <c r="P233" s="548">
        <v>24</v>
      </c>
      <c r="Q233" s="548">
        <v>24</v>
      </c>
      <c r="R233" s="548">
        <v>24</v>
      </c>
      <c r="S233" s="548"/>
      <c r="T233" s="829">
        <v>24</v>
      </c>
    </row>
    <row r="234" spans="1:22" x14ac:dyDescent="0.25">
      <c r="A234" s="541" t="s">
        <v>396</v>
      </c>
      <c r="B234" s="726" t="s">
        <v>1210</v>
      </c>
      <c r="C234" s="689">
        <v>5000</v>
      </c>
      <c r="D234" s="686">
        <v>5000</v>
      </c>
      <c r="E234" s="690">
        <v>0</v>
      </c>
      <c r="F234" s="686">
        <v>4000</v>
      </c>
      <c r="G234" s="544"/>
      <c r="H234" s="548">
        <v>0</v>
      </c>
      <c r="I234" s="548">
        <v>0</v>
      </c>
      <c r="J234" s="548">
        <v>0</v>
      </c>
      <c r="K234" s="548">
        <v>0</v>
      </c>
      <c r="L234" s="548">
        <v>0</v>
      </c>
      <c r="M234" s="548">
        <v>0</v>
      </c>
      <c r="N234" s="548">
        <v>24</v>
      </c>
      <c r="O234" s="548">
        <v>0</v>
      </c>
      <c r="P234" s="548">
        <v>0</v>
      </c>
      <c r="Q234" s="548">
        <v>0</v>
      </c>
      <c r="R234" s="548">
        <v>0</v>
      </c>
      <c r="S234" s="548"/>
      <c r="T234" s="829">
        <v>0</v>
      </c>
    </row>
    <row r="235" spans="1:22" x14ac:dyDescent="0.25">
      <c r="A235" s="541" t="s">
        <v>384</v>
      </c>
      <c r="B235" s="704" t="s">
        <v>1211</v>
      </c>
      <c r="C235" s="689">
        <v>6000</v>
      </c>
      <c r="D235" s="686">
        <v>6000</v>
      </c>
      <c r="E235" s="690">
        <v>0</v>
      </c>
      <c r="F235" s="686">
        <v>300</v>
      </c>
      <c r="G235" s="544"/>
      <c r="H235" s="548">
        <v>0</v>
      </c>
      <c r="I235" s="548">
        <v>0</v>
      </c>
      <c r="J235" s="548">
        <v>0</v>
      </c>
      <c r="K235" s="548">
        <v>0</v>
      </c>
      <c r="L235" s="548">
        <v>0</v>
      </c>
      <c r="M235" s="548">
        <v>0</v>
      </c>
      <c r="N235" s="548">
        <v>0</v>
      </c>
      <c r="O235" s="548">
        <v>0</v>
      </c>
      <c r="P235" s="548">
        <v>0</v>
      </c>
      <c r="Q235" s="548">
        <v>0</v>
      </c>
      <c r="R235" s="548">
        <v>0</v>
      </c>
      <c r="S235" s="548"/>
      <c r="T235" s="829">
        <v>0</v>
      </c>
    </row>
    <row r="236" spans="1:22" x14ac:dyDescent="0.25">
      <c r="A236" s="541" t="s">
        <v>1212</v>
      </c>
      <c r="B236" s="704" t="s">
        <v>1213</v>
      </c>
      <c r="C236" s="689">
        <v>5000</v>
      </c>
      <c r="D236" s="686">
        <v>5000</v>
      </c>
      <c r="E236" s="690">
        <v>2615.9899999999998</v>
      </c>
      <c r="F236" s="686">
        <v>3000</v>
      </c>
      <c r="G236" s="544"/>
      <c r="H236" s="548">
        <v>99</v>
      </c>
      <c r="I236" s="548">
        <v>198</v>
      </c>
      <c r="J236" s="548">
        <v>297</v>
      </c>
      <c r="K236" s="548">
        <v>396</v>
      </c>
      <c r="L236" s="548">
        <v>495</v>
      </c>
      <c r="M236" s="548">
        <v>495</v>
      </c>
      <c r="N236" s="548">
        <v>594</v>
      </c>
      <c r="O236" s="548">
        <v>693</v>
      </c>
      <c r="P236" s="548">
        <v>792</v>
      </c>
      <c r="Q236" s="548">
        <v>1441</v>
      </c>
      <c r="R236" s="548">
        <v>2361.1</v>
      </c>
      <c r="S236" s="548"/>
      <c r="T236" s="829">
        <v>2559.1</v>
      </c>
    </row>
    <row r="237" spans="1:22" x14ac:dyDescent="0.25">
      <c r="A237" s="541" t="s">
        <v>1214</v>
      </c>
      <c r="B237" s="704" t="s">
        <v>1215</v>
      </c>
      <c r="C237" s="689">
        <v>1000</v>
      </c>
      <c r="D237" s="686">
        <v>1000</v>
      </c>
      <c r="E237" s="690">
        <v>600</v>
      </c>
      <c r="F237" s="686">
        <v>1500</v>
      </c>
      <c r="G237" s="544"/>
      <c r="H237" s="548">
        <v>160.65</v>
      </c>
      <c r="I237" s="548">
        <v>160.65</v>
      </c>
      <c r="J237" s="548">
        <v>160.65</v>
      </c>
      <c r="K237" s="548">
        <v>160.65</v>
      </c>
      <c r="L237" s="548">
        <v>160.65</v>
      </c>
      <c r="M237" s="548">
        <v>160.65</v>
      </c>
      <c r="N237" s="548">
        <v>160.65</v>
      </c>
      <c r="O237" s="548">
        <v>160.65</v>
      </c>
      <c r="P237" s="548">
        <v>160.65</v>
      </c>
      <c r="Q237" s="548">
        <v>160.65</v>
      </c>
      <c r="R237" s="548">
        <v>160.65</v>
      </c>
      <c r="S237" s="548"/>
      <c r="T237" s="829">
        <v>160.65</v>
      </c>
    </row>
    <row r="238" spans="1:22" s="461" customFormat="1" x14ac:dyDescent="0.25">
      <c r="A238" s="549" t="s">
        <v>1216</v>
      </c>
      <c r="B238" s="550" t="s">
        <v>1217</v>
      </c>
      <c r="C238" s="551"/>
      <c r="D238" s="552"/>
      <c r="E238" s="557"/>
      <c r="F238" s="552"/>
      <c r="G238" s="552"/>
      <c r="H238" s="559"/>
      <c r="I238" s="559"/>
      <c r="J238" s="559"/>
      <c r="K238" s="559"/>
      <c r="L238" s="559"/>
      <c r="M238" s="559"/>
      <c r="N238" s="559"/>
      <c r="O238" s="559"/>
      <c r="P238" s="559"/>
      <c r="Q238" s="559"/>
      <c r="R238" s="555"/>
      <c r="S238" s="559"/>
      <c r="T238" s="831"/>
      <c r="U238" s="459"/>
      <c r="V238" s="460"/>
    </row>
    <row r="239" spans="1:22" x14ac:dyDescent="0.25">
      <c r="A239" s="687" t="s">
        <v>1218</v>
      </c>
      <c r="B239" s="704" t="s">
        <v>1219</v>
      </c>
      <c r="C239" s="543">
        <v>13500</v>
      </c>
      <c r="D239" s="544">
        <v>13500</v>
      </c>
      <c r="E239" s="547">
        <v>9820</v>
      </c>
      <c r="F239" s="686">
        <v>13000</v>
      </c>
      <c r="G239" s="544"/>
      <c r="H239" s="548">
        <v>800</v>
      </c>
      <c r="I239" s="548">
        <v>1670</v>
      </c>
      <c r="J239" s="548">
        <v>2470</v>
      </c>
      <c r="K239" s="548">
        <v>3310</v>
      </c>
      <c r="L239" s="548">
        <v>4170</v>
      </c>
      <c r="M239" s="548">
        <v>4990</v>
      </c>
      <c r="N239" s="548">
        <v>4990</v>
      </c>
      <c r="O239" s="548">
        <v>5790</v>
      </c>
      <c r="P239" s="548">
        <v>6630</v>
      </c>
      <c r="Q239" s="548">
        <v>7430</v>
      </c>
      <c r="R239" s="548">
        <v>8230</v>
      </c>
      <c r="S239" s="548"/>
      <c r="T239" s="829">
        <v>9870</v>
      </c>
    </row>
    <row r="240" spans="1:22" x14ac:dyDescent="0.25">
      <c r="A240" s="687" t="s">
        <v>256</v>
      </c>
      <c r="B240" s="704" t="s">
        <v>1220</v>
      </c>
      <c r="C240" s="543">
        <v>6000</v>
      </c>
      <c r="D240" s="544">
        <v>6000</v>
      </c>
      <c r="E240" s="547">
        <v>0</v>
      </c>
      <c r="F240" s="686">
        <v>4000</v>
      </c>
      <c r="G240" s="544"/>
      <c r="H240" s="548">
        <v>0</v>
      </c>
      <c r="I240" s="548">
        <v>120</v>
      </c>
      <c r="J240" s="548">
        <v>120</v>
      </c>
      <c r="K240" s="548">
        <v>120</v>
      </c>
      <c r="L240" s="548">
        <v>120</v>
      </c>
      <c r="M240" s="548">
        <v>120</v>
      </c>
      <c r="N240" s="548">
        <v>120</v>
      </c>
      <c r="O240" s="548">
        <v>120</v>
      </c>
      <c r="P240" s="548">
        <v>172.05</v>
      </c>
      <c r="Q240" s="548">
        <v>172.05</v>
      </c>
      <c r="R240" s="548">
        <v>172.05</v>
      </c>
      <c r="S240" s="548"/>
      <c r="T240" s="829">
        <v>172.05</v>
      </c>
    </row>
    <row r="241" spans="1:22" x14ac:dyDescent="0.25">
      <c r="A241" s="541" t="s">
        <v>1221</v>
      </c>
      <c r="B241" s="704" t="s">
        <v>1222</v>
      </c>
      <c r="C241" s="689">
        <v>12000</v>
      </c>
      <c r="D241" s="686">
        <v>15000</v>
      </c>
      <c r="E241" s="695">
        <v>16610</v>
      </c>
      <c r="F241" s="686">
        <v>15000</v>
      </c>
      <c r="G241" s="544"/>
      <c r="H241" s="548">
        <v>2736.25</v>
      </c>
      <c r="I241" s="548">
        <v>2736.25</v>
      </c>
      <c r="J241" s="548">
        <v>5376.25</v>
      </c>
      <c r="K241" s="548">
        <v>5376.25</v>
      </c>
      <c r="L241" s="548">
        <v>6256.25</v>
      </c>
      <c r="M241" s="548">
        <v>8456.25</v>
      </c>
      <c r="N241" s="548">
        <v>8456.25</v>
      </c>
      <c r="O241" s="548">
        <v>9336.25</v>
      </c>
      <c r="P241" s="548">
        <v>11013.75</v>
      </c>
      <c r="Q241" s="548">
        <v>11893.75</v>
      </c>
      <c r="R241" s="548">
        <v>13653.75</v>
      </c>
      <c r="S241" s="548"/>
      <c r="T241" s="828">
        <v>17613.75</v>
      </c>
    </row>
    <row r="242" spans="1:22" x14ac:dyDescent="0.25">
      <c r="A242" s="687" t="s">
        <v>287</v>
      </c>
      <c r="B242" s="704" t="s">
        <v>1223</v>
      </c>
      <c r="C242" s="689">
        <v>1500</v>
      </c>
      <c r="D242" s="686">
        <v>1500</v>
      </c>
      <c r="E242" s="690">
        <v>0</v>
      </c>
      <c r="F242" s="686">
        <v>1000</v>
      </c>
      <c r="G242" s="544"/>
      <c r="H242" s="548">
        <v>0</v>
      </c>
      <c r="I242" s="548">
        <v>0</v>
      </c>
      <c r="J242" s="548">
        <v>0</v>
      </c>
      <c r="K242" s="548">
        <v>0</v>
      </c>
      <c r="L242" s="548">
        <v>0</v>
      </c>
      <c r="M242" s="548">
        <v>0</v>
      </c>
      <c r="N242" s="548">
        <v>0</v>
      </c>
      <c r="O242" s="548">
        <v>0</v>
      </c>
      <c r="P242" s="548">
        <v>0</v>
      </c>
      <c r="Q242" s="548">
        <v>0</v>
      </c>
      <c r="R242" s="548">
        <v>0</v>
      </c>
      <c r="S242" s="548"/>
      <c r="T242" s="829">
        <v>0</v>
      </c>
    </row>
    <row r="243" spans="1:22" x14ac:dyDescent="0.25">
      <c r="A243" s="687" t="s">
        <v>309</v>
      </c>
      <c r="B243" s="704" t="s">
        <v>1224</v>
      </c>
      <c r="C243" s="689">
        <v>250</v>
      </c>
      <c r="D243" s="686">
        <v>250</v>
      </c>
      <c r="E243" s="690">
        <v>0</v>
      </c>
      <c r="F243" s="686">
        <v>250</v>
      </c>
      <c r="G243" s="544"/>
      <c r="H243" s="548">
        <v>0</v>
      </c>
      <c r="I243" s="548">
        <v>0</v>
      </c>
      <c r="J243" s="548">
        <v>0</v>
      </c>
      <c r="K243" s="548">
        <v>0</v>
      </c>
      <c r="L243" s="548">
        <v>0</v>
      </c>
      <c r="M243" s="548">
        <v>0</v>
      </c>
      <c r="N243" s="548">
        <v>0</v>
      </c>
      <c r="O243" s="548">
        <v>0</v>
      </c>
      <c r="P243" s="548">
        <v>0</v>
      </c>
      <c r="Q243" s="548">
        <v>0</v>
      </c>
      <c r="R243" s="548">
        <v>0</v>
      </c>
      <c r="S243" s="548"/>
      <c r="T243" s="829">
        <v>0</v>
      </c>
    </row>
    <row r="244" spans="1:22" x14ac:dyDescent="0.25">
      <c r="A244" s="541" t="s">
        <v>397</v>
      </c>
      <c r="B244" s="726" t="s">
        <v>1225</v>
      </c>
      <c r="C244" s="689">
        <v>2250</v>
      </c>
      <c r="D244" s="686">
        <v>2250</v>
      </c>
      <c r="E244" s="690">
        <v>0</v>
      </c>
      <c r="F244" s="686">
        <v>1500</v>
      </c>
      <c r="G244" s="544"/>
      <c r="H244" s="548">
        <v>0</v>
      </c>
      <c r="I244" s="548">
        <v>0</v>
      </c>
      <c r="J244" s="548">
        <v>0</v>
      </c>
      <c r="K244" s="548">
        <v>0</v>
      </c>
      <c r="L244" s="548">
        <v>0</v>
      </c>
      <c r="M244" s="548">
        <v>0</v>
      </c>
      <c r="N244" s="548">
        <v>0</v>
      </c>
      <c r="O244" s="548">
        <v>0</v>
      </c>
      <c r="P244" s="548">
        <v>0</v>
      </c>
      <c r="Q244" s="548">
        <v>0</v>
      </c>
      <c r="R244" s="548">
        <v>0</v>
      </c>
      <c r="S244" s="548"/>
      <c r="T244" s="829">
        <v>0</v>
      </c>
    </row>
    <row r="245" spans="1:22" x14ac:dyDescent="0.25">
      <c r="A245" s="541" t="s">
        <v>386</v>
      </c>
      <c r="B245" s="704" t="s">
        <v>1226</v>
      </c>
      <c r="C245" s="689">
        <v>1500</v>
      </c>
      <c r="D245" s="686">
        <v>1500</v>
      </c>
      <c r="E245" s="690">
        <v>0</v>
      </c>
      <c r="F245" s="686">
        <v>200</v>
      </c>
      <c r="G245" s="544"/>
      <c r="H245" s="548">
        <v>0</v>
      </c>
      <c r="I245" s="548">
        <v>0</v>
      </c>
      <c r="J245" s="548">
        <v>0</v>
      </c>
      <c r="K245" s="548">
        <v>0</v>
      </c>
      <c r="L245" s="548">
        <v>0</v>
      </c>
      <c r="M245" s="548">
        <v>0</v>
      </c>
      <c r="N245" s="548">
        <v>0</v>
      </c>
      <c r="O245" s="548">
        <v>0</v>
      </c>
      <c r="P245" s="548">
        <v>0</v>
      </c>
      <c r="Q245" s="548">
        <v>0</v>
      </c>
      <c r="R245" s="548">
        <v>0</v>
      </c>
      <c r="S245" s="548"/>
      <c r="T245" s="829">
        <v>0</v>
      </c>
    </row>
    <row r="246" spans="1:22" x14ac:dyDescent="0.25">
      <c r="A246" s="541" t="s">
        <v>1227</v>
      </c>
      <c r="B246" s="704" t="s">
        <v>1228</v>
      </c>
      <c r="C246" s="689">
        <v>1500</v>
      </c>
      <c r="D246" s="686">
        <v>1500</v>
      </c>
      <c r="E246" s="690">
        <v>209.76</v>
      </c>
      <c r="F246" s="686">
        <v>1500</v>
      </c>
      <c r="G246" s="544"/>
      <c r="H246" s="548">
        <v>0</v>
      </c>
      <c r="I246" s="548">
        <v>0</v>
      </c>
      <c r="J246" s="548">
        <v>0</v>
      </c>
      <c r="K246" s="548">
        <v>0</v>
      </c>
      <c r="L246" s="548">
        <v>0</v>
      </c>
      <c r="M246" s="548">
        <v>0</v>
      </c>
      <c r="N246" s="548">
        <v>0</v>
      </c>
      <c r="O246" s="548">
        <v>0</v>
      </c>
      <c r="P246" s="548">
        <v>0</v>
      </c>
      <c r="Q246" s="548">
        <v>0</v>
      </c>
      <c r="R246" s="548">
        <v>16.649999999999999</v>
      </c>
      <c r="S246" s="548"/>
      <c r="T246" s="829">
        <v>149.83000000000001</v>
      </c>
    </row>
    <row r="247" spans="1:22" x14ac:dyDescent="0.25">
      <c r="A247" s="541" t="s">
        <v>1229</v>
      </c>
      <c r="B247" s="704" t="s">
        <v>1230</v>
      </c>
      <c r="C247" s="689">
        <v>250</v>
      </c>
      <c r="D247" s="686">
        <v>250</v>
      </c>
      <c r="E247" s="690">
        <v>0</v>
      </c>
      <c r="F247" s="686">
        <v>250</v>
      </c>
      <c r="G247" s="544"/>
      <c r="H247" s="548">
        <v>0</v>
      </c>
      <c r="I247" s="548">
        <v>0</v>
      </c>
      <c r="J247" s="548">
        <v>0</v>
      </c>
      <c r="K247" s="548">
        <v>0</v>
      </c>
      <c r="L247" s="548">
        <v>0</v>
      </c>
      <c r="M247" s="548">
        <v>0</v>
      </c>
      <c r="N247" s="548">
        <v>0</v>
      </c>
      <c r="O247" s="548">
        <v>0</v>
      </c>
      <c r="P247" s="548">
        <v>0</v>
      </c>
      <c r="Q247" s="548">
        <v>0</v>
      </c>
      <c r="R247" s="548">
        <v>0</v>
      </c>
      <c r="S247" s="548"/>
      <c r="T247" s="829">
        <v>0</v>
      </c>
    </row>
    <row r="248" spans="1:22" s="461" customFormat="1" x14ac:dyDescent="0.25">
      <c r="A248" s="560" t="s">
        <v>1231</v>
      </c>
      <c r="B248" s="561" t="s">
        <v>1232</v>
      </c>
      <c r="C248" s="551"/>
      <c r="D248" s="552"/>
      <c r="E248" s="566"/>
      <c r="F248" s="552"/>
      <c r="G248" s="552"/>
      <c r="H248" s="558"/>
      <c r="I248" s="558"/>
      <c r="J248" s="558"/>
      <c r="K248" s="558"/>
      <c r="L248" s="558"/>
      <c r="M248" s="558"/>
      <c r="N248" s="558"/>
      <c r="O248" s="558"/>
      <c r="P248" s="558"/>
      <c r="Q248" s="558"/>
      <c r="R248" s="580"/>
      <c r="S248" s="558"/>
      <c r="T248" s="833"/>
      <c r="U248" s="459"/>
      <c r="V248" s="460"/>
    </row>
    <row r="249" spans="1:22" x14ac:dyDescent="0.25">
      <c r="A249" s="583" t="s">
        <v>484</v>
      </c>
      <c r="B249" s="719" t="s">
        <v>485</v>
      </c>
      <c r="C249" s="689">
        <v>50000</v>
      </c>
      <c r="D249" s="686">
        <v>55000</v>
      </c>
      <c r="E249" s="696">
        <v>51819.24</v>
      </c>
      <c r="F249" s="686">
        <v>60000</v>
      </c>
      <c r="G249" s="544"/>
      <c r="H249" s="546">
        <v>726</v>
      </c>
      <c r="I249" s="546">
        <v>726</v>
      </c>
      <c r="J249" s="546">
        <v>1996.5</v>
      </c>
      <c r="K249" s="546">
        <v>2136.75</v>
      </c>
      <c r="L249" s="546">
        <v>2499.75</v>
      </c>
      <c r="M249" s="546">
        <v>20385.75</v>
      </c>
      <c r="N249" s="546">
        <v>22943.25</v>
      </c>
      <c r="O249" s="546">
        <v>26990.04</v>
      </c>
      <c r="P249" s="546">
        <v>27155.040000000001</v>
      </c>
      <c r="Q249" s="546">
        <v>27320.04</v>
      </c>
      <c r="R249" s="567">
        <v>30034.29</v>
      </c>
      <c r="S249" s="546"/>
      <c r="T249" s="835">
        <v>44554.29</v>
      </c>
    </row>
    <row r="250" spans="1:22" x14ac:dyDescent="0.25">
      <c r="A250" s="583" t="s">
        <v>487</v>
      </c>
      <c r="B250" s="719" t="s">
        <v>1233</v>
      </c>
      <c r="C250" s="689">
        <v>45000</v>
      </c>
      <c r="D250" s="686">
        <v>50000</v>
      </c>
      <c r="E250" s="696">
        <v>40555</v>
      </c>
      <c r="F250" s="686">
        <v>50000</v>
      </c>
      <c r="G250" s="544"/>
      <c r="H250" s="546">
        <v>3930</v>
      </c>
      <c r="I250" s="546">
        <v>6287.5</v>
      </c>
      <c r="J250" s="546">
        <v>9110</v>
      </c>
      <c r="K250" s="546">
        <v>11240</v>
      </c>
      <c r="L250" s="546">
        <v>16400</v>
      </c>
      <c r="M250" s="546">
        <v>16880</v>
      </c>
      <c r="N250" s="546">
        <v>16880</v>
      </c>
      <c r="O250" s="546">
        <v>23890</v>
      </c>
      <c r="P250" s="546">
        <v>27080</v>
      </c>
      <c r="Q250" s="546">
        <v>32880</v>
      </c>
      <c r="R250" s="567">
        <v>35980</v>
      </c>
      <c r="S250" s="546"/>
      <c r="T250" s="835">
        <v>45570</v>
      </c>
    </row>
    <row r="251" spans="1:22" x14ac:dyDescent="0.25">
      <c r="A251" s="583" t="s">
        <v>490</v>
      </c>
      <c r="B251" s="719" t="s">
        <v>1234</v>
      </c>
      <c r="C251" s="689">
        <v>9500</v>
      </c>
      <c r="D251" s="686">
        <v>9500</v>
      </c>
      <c r="E251" s="696">
        <v>-561.76</v>
      </c>
      <c r="F251" s="686">
        <v>8000</v>
      </c>
      <c r="G251" s="544"/>
      <c r="H251" s="546">
        <v>0</v>
      </c>
      <c r="I251" s="546">
        <v>0</v>
      </c>
      <c r="J251" s="546">
        <v>0</v>
      </c>
      <c r="K251" s="546">
        <v>0</v>
      </c>
      <c r="L251" s="546">
        <v>0</v>
      </c>
      <c r="M251" s="546">
        <v>0</v>
      </c>
      <c r="N251" s="546">
        <v>0</v>
      </c>
      <c r="O251" s="546">
        <v>0</v>
      </c>
      <c r="P251" s="546">
        <v>0</v>
      </c>
      <c r="Q251" s="546">
        <v>0</v>
      </c>
      <c r="R251" s="567">
        <v>0</v>
      </c>
      <c r="S251" s="546"/>
      <c r="T251" s="835">
        <v>265.37</v>
      </c>
    </row>
    <row r="252" spans="1:22" x14ac:dyDescent="0.25">
      <c r="A252" s="583" t="s">
        <v>499</v>
      </c>
      <c r="B252" s="719" t="s">
        <v>1235</v>
      </c>
      <c r="C252" s="689">
        <v>500</v>
      </c>
      <c r="D252" s="686">
        <v>500</v>
      </c>
      <c r="E252" s="690">
        <v>0</v>
      </c>
      <c r="F252" s="686">
        <v>500</v>
      </c>
      <c r="G252" s="544"/>
      <c r="H252" s="546">
        <v>0</v>
      </c>
      <c r="I252" s="548">
        <v>0</v>
      </c>
      <c r="J252" s="548">
        <v>0</v>
      </c>
      <c r="K252" s="548">
        <v>0</v>
      </c>
      <c r="L252" s="548">
        <v>0</v>
      </c>
      <c r="M252" s="548">
        <v>0</v>
      </c>
      <c r="N252" s="548">
        <v>0</v>
      </c>
      <c r="O252" s="548">
        <v>0</v>
      </c>
      <c r="P252" s="548">
        <v>0</v>
      </c>
      <c r="Q252" s="548">
        <v>0</v>
      </c>
      <c r="R252" s="548">
        <v>0</v>
      </c>
      <c r="S252" s="548"/>
      <c r="T252" s="829">
        <v>0</v>
      </c>
      <c r="U252" s="590"/>
    </row>
    <row r="253" spans="1:22" s="585" customFormat="1" x14ac:dyDescent="0.25">
      <c r="A253" s="560" t="s">
        <v>508</v>
      </c>
      <c r="B253" s="718" t="s">
        <v>1090</v>
      </c>
      <c r="C253" s="689">
        <v>100000</v>
      </c>
      <c r="D253" s="686">
        <v>100000</v>
      </c>
      <c r="E253" s="690">
        <v>100000</v>
      </c>
      <c r="F253" s="686">
        <v>100000</v>
      </c>
      <c r="G253" s="552"/>
      <c r="H253" s="555">
        <v>0</v>
      </c>
      <c r="I253" s="555">
        <v>18000</v>
      </c>
      <c r="J253" s="555">
        <v>18000</v>
      </c>
      <c r="K253" s="555">
        <v>18000</v>
      </c>
      <c r="L253" s="555">
        <v>18000</v>
      </c>
      <c r="M253" s="555">
        <v>18000</v>
      </c>
      <c r="N253" s="555">
        <v>18000</v>
      </c>
      <c r="O253" s="555">
        <v>59000</v>
      </c>
      <c r="P253" s="555">
        <v>59000</v>
      </c>
      <c r="Q253" s="555">
        <v>59000</v>
      </c>
      <c r="R253" s="555">
        <v>83600</v>
      </c>
      <c r="S253" s="555"/>
      <c r="T253" s="830">
        <v>100000</v>
      </c>
      <c r="U253" s="584"/>
      <c r="V253" s="460"/>
    </row>
    <row r="254" spans="1:22" x14ac:dyDescent="0.25">
      <c r="A254" s="588"/>
      <c r="B254" s="535" t="s">
        <v>1236</v>
      </c>
      <c r="C254" s="537">
        <f t="shared" ref="C254:S254" si="10">SUM(C181:C253)</f>
        <v>506175</v>
      </c>
      <c r="D254" s="538">
        <f t="shared" si="10"/>
        <v>559175</v>
      </c>
      <c r="E254" s="564">
        <f t="shared" si="10"/>
        <v>409821.26</v>
      </c>
      <c r="F254" s="538">
        <f>SUM(F181:F253)</f>
        <v>491389.02</v>
      </c>
      <c r="G254" s="538">
        <f t="shared" si="10"/>
        <v>0</v>
      </c>
      <c r="H254" s="589">
        <f t="shared" si="10"/>
        <v>16340.09</v>
      </c>
      <c r="I254" s="589">
        <f t="shared" si="10"/>
        <v>45977.279999999999</v>
      </c>
      <c r="J254" s="589">
        <f t="shared" si="10"/>
        <v>59798.130000000005</v>
      </c>
      <c r="K254" s="589">
        <f t="shared" si="10"/>
        <v>69026.679999999993</v>
      </c>
      <c r="L254" s="589">
        <f t="shared" si="10"/>
        <v>87921.87</v>
      </c>
      <c r="M254" s="589">
        <f t="shared" si="10"/>
        <v>139060.88999999998</v>
      </c>
      <c r="N254" s="589">
        <f t="shared" si="10"/>
        <v>145083.03999999998</v>
      </c>
      <c r="O254" s="589">
        <f t="shared" si="10"/>
        <v>207273.22999999998</v>
      </c>
      <c r="P254" s="589">
        <f t="shared" si="10"/>
        <v>227646.81999999998</v>
      </c>
      <c r="Q254" s="589">
        <f t="shared" si="10"/>
        <v>240381.37</v>
      </c>
      <c r="R254" s="589">
        <f t="shared" si="10"/>
        <v>287246.96000000002</v>
      </c>
      <c r="S254" s="589">
        <f t="shared" si="10"/>
        <v>0</v>
      </c>
      <c r="T254" s="837">
        <f t="shared" ref="T254" si="11">SUM(T181:T253)</f>
        <v>386290.48</v>
      </c>
    </row>
    <row r="255" spans="1:22" x14ac:dyDescent="0.25">
      <c r="A255" s="541" t="s">
        <v>514</v>
      </c>
      <c r="B255" s="688" t="s">
        <v>1237</v>
      </c>
      <c r="C255" s="689">
        <v>25000</v>
      </c>
      <c r="D255" s="686">
        <v>25000</v>
      </c>
      <c r="E255" s="696">
        <v>6449.8</v>
      </c>
      <c r="F255" s="686">
        <v>10000</v>
      </c>
      <c r="G255" s="544"/>
      <c r="H255" s="546">
        <v>0</v>
      </c>
      <c r="I255" s="546">
        <v>0</v>
      </c>
      <c r="J255" s="546">
        <v>0</v>
      </c>
      <c r="K255" s="546">
        <v>0</v>
      </c>
      <c r="L255" s="546">
        <v>0</v>
      </c>
      <c r="M255" s="546">
        <v>0</v>
      </c>
      <c r="N255" s="546">
        <v>0</v>
      </c>
      <c r="O255" s="546">
        <v>950</v>
      </c>
      <c r="P255" s="546">
        <v>950</v>
      </c>
      <c r="Q255" s="546">
        <v>950</v>
      </c>
      <c r="R255" s="546">
        <v>950</v>
      </c>
      <c r="S255" s="546"/>
      <c r="T255" s="835">
        <v>950</v>
      </c>
    </row>
    <row r="256" spans="1:22" x14ac:dyDescent="0.25">
      <c r="A256" s="541" t="s">
        <v>519</v>
      </c>
      <c r="B256" s="688" t="s">
        <v>1238</v>
      </c>
      <c r="C256" s="689">
        <v>1500</v>
      </c>
      <c r="D256" s="686">
        <v>1500</v>
      </c>
      <c r="E256" s="696">
        <v>0</v>
      </c>
      <c r="F256" s="686">
        <v>1500</v>
      </c>
      <c r="G256" s="544"/>
      <c r="H256" s="546">
        <v>0</v>
      </c>
      <c r="I256" s="546">
        <v>0</v>
      </c>
      <c r="J256" s="546">
        <v>0</v>
      </c>
      <c r="K256" s="546">
        <v>0</v>
      </c>
      <c r="L256" s="546">
        <v>0</v>
      </c>
      <c r="M256" s="546">
        <v>0</v>
      </c>
      <c r="N256" s="546">
        <v>0</v>
      </c>
      <c r="O256" s="546">
        <v>0</v>
      </c>
      <c r="P256" s="546">
        <v>0</v>
      </c>
      <c r="Q256" s="546">
        <v>0</v>
      </c>
      <c r="R256" s="546">
        <v>0</v>
      </c>
      <c r="S256" s="546">
        <v>0</v>
      </c>
      <c r="T256" s="835">
        <v>0</v>
      </c>
    </row>
    <row r="257" spans="1:22" x14ac:dyDescent="0.25">
      <c r="A257" s="588"/>
      <c r="B257" s="535" t="s">
        <v>1239</v>
      </c>
      <c r="C257" s="537">
        <f t="shared" ref="C257:T257" si="12">SUM(C255:C256)</f>
        <v>26500</v>
      </c>
      <c r="D257" s="538">
        <f t="shared" si="12"/>
        <v>26500</v>
      </c>
      <c r="E257" s="564">
        <f t="shared" si="12"/>
        <v>6449.8</v>
      </c>
      <c r="F257" s="538">
        <f t="shared" si="12"/>
        <v>11500</v>
      </c>
      <c r="G257" s="538">
        <f t="shared" si="12"/>
        <v>0</v>
      </c>
      <c r="H257" s="589">
        <f t="shared" si="12"/>
        <v>0</v>
      </c>
      <c r="I257" s="589">
        <f t="shared" si="12"/>
        <v>0</v>
      </c>
      <c r="J257" s="589">
        <f t="shared" si="12"/>
        <v>0</v>
      </c>
      <c r="K257" s="589">
        <f t="shared" si="12"/>
        <v>0</v>
      </c>
      <c r="L257" s="589">
        <f t="shared" si="12"/>
        <v>0</v>
      </c>
      <c r="M257" s="589">
        <f t="shared" si="12"/>
        <v>0</v>
      </c>
      <c r="N257" s="589">
        <f t="shared" si="12"/>
        <v>0</v>
      </c>
      <c r="O257" s="589">
        <f t="shared" si="12"/>
        <v>950</v>
      </c>
      <c r="P257" s="589">
        <f t="shared" si="12"/>
        <v>950</v>
      </c>
      <c r="Q257" s="589">
        <f t="shared" si="12"/>
        <v>950</v>
      </c>
      <c r="R257" s="589">
        <f t="shared" si="12"/>
        <v>950</v>
      </c>
      <c r="S257" s="589">
        <f t="shared" si="12"/>
        <v>0</v>
      </c>
      <c r="T257" s="837">
        <f t="shared" si="12"/>
        <v>950</v>
      </c>
    </row>
    <row r="258" spans="1:22" x14ac:dyDescent="0.25">
      <c r="A258" s="541" t="s">
        <v>526</v>
      </c>
      <c r="B258" s="694" t="s">
        <v>1240</v>
      </c>
      <c r="C258" s="689">
        <v>0</v>
      </c>
      <c r="D258" s="686">
        <v>0</v>
      </c>
      <c r="E258" s="696">
        <v>0</v>
      </c>
      <c r="F258" s="686">
        <v>0</v>
      </c>
      <c r="G258" s="544"/>
      <c r="H258" s="546">
        <v>0</v>
      </c>
      <c r="I258" s="546">
        <v>0</v>
      </c>
      <c r="J258" s="546">
        <v>0</v>
      </c>
      <c r="K258" s="546">
        <v>0</v>
      </c>
      <c r="L258" s="546">
        <v>0</v>
      </c>
      <c r="M258" s="546">
        <v>0</v>
      </c>
      <c r="N258" s="546">
        <v>0</v>
      </c>
      <c r="O258" s="546">
        <v>0</v>
      </c>
      <c r="P258" s="546">
        <v>0</v>
      </c>
      <c r="Q258" s="546">
        <v>0</v>
      </c>
      <c r="R258" s="546">
        <v>0</v>
      </c>
      <c r="S258" s="546">
        <v>0</v>
      </c>
      <c r="T258" s="835">
        <v>0</v>
      </c>
    </row>
    <row r="259" spans="1:22" x14ac:dyDescent="0.25">
      <c r="A259" s="541" t="s">
        <v>528</v>
      </c>
      <c r="B259" s="688" t="s">
        <v>1241</v>
      </c>
      <c r="C259" s="689">
        <v>0</v>
      </c>
      <c r="D259" s="686">
        <v>0</v>
      </c>
      <c r="E259" s="696">
        <v>0</v>
      </c>
      <c r="F259" s="686">
        <v>60000</v>
      </c>
      <c r="G259" s="544"/>
      <c r="H259" s="546">
        <v>0</v>
      </c>
      <c r="I259" s="546">
        <v>0</v>
      </c>
      <c r="J259" s="546">
        <v>0</v>
      </c>
      <c r="K259" s="546">
        <v>0</v>
      </c>
      <c r="L259" s="546">
        <v>0</v>
      </c>
      <c r="M259" s="546">
        <v>0</v>
      </c>
      <c r="N259" s="546">
        <v>0</v>
      </c>
      <c r="O259" s="546">
        <v>0</v>
      </c>
      <c r="P259" s="546">
        <v>0</v>
      </c>
      <c r="Q259" s="546">
        <v>0</v>
      </c>
      <c r="R259" s="546">
        <v>0</v>
      </c>
      <c r="S259" s="546">
        <v>0</v>
      </c>
      <c r="T259" s="835">
        <v>60000</v>
      </c>
    </row>
    <row r="260" spans="1:22" x14ac:dyDescent="0.25">
      <c r="A260" s="586" t="s">
        <v>530</v>
      </c>
      <c r="B260" s="728" t="s">
        <v>1242</v>
      </c>
      <c r="C260" s="689">
        <v>5000</v>
      </c>
      <c r="D260" s="686">
        <v>5000</v>
      </c>
      <c r="E260" s="696">
        <v>5000</v>
      </c>
      <c r="F260" s="686">
        <v>0</v>
      </c>
      <c r="G260" s="544"/>
      <c r="H260" s="587">
        <v>0</v>
      </c>
      <c r="I260" s="587">
        <v>0</v>
      </c>
      <c r="J260" s="587">
        <v>0</v>
      </c>
      <c r="K260" s="587">
        <v>0</v>
      </c>
      <c r="L260" s="587">
        <v>0</v>
      </c>
      <c r="M260" s="587">
        <v>0</v>
      </c>
      <c r="N260" s="587">
        <v>0</v>
      </c>
      <c r="O260" s="587"/>
      <c r="P260" s="587"/>
      <c r="Q260" s="587"/>
      <c r="R260" s="587">
        <v>0</v>
      </c>
      <c r="S260" s="587">
        <v>0</v>
      </c>
      <c r="T260" s="836">
        <v>0</v>
      </c>
    </row>
    <row r="261" spans="1:22" x14ac:dyDescent="0.25">
      <c r="A261" s="588"/>
      <c r="B261" s="535" t="s">
        <v>1243</v>
      </c>
      <c r="C261" s="537">
        <f t="shared" ref="C261:N261" si="13">SUM(C258:C260)</f>
        <v>5000</v>
      </c>
      <c r="D261" s="538">
        <f t="shared" si="13"/>
        <v>5000</v>
      </c>
      <c r="E261" s="539">
        <f t="shared" si="13"/>
        <v>5000</v>
      </c>
      <c r="F261" s="538">
        <f t="shared" si="13"/>
        <v>60000</v>
      </c>
      <c r="G261" s="538">
        <f t="shared" si="13"/>
        <v>0</v>
      </c>
      <c r="H261" s="540">
        <f t="shared" si="13"/>
        <v>0</v>
      </c>
      <c r="I261" s="540">
        <f t="shared" si="13"/>
        <v>0</v>
      </c>
      <c r="J261" s="540">
        <f t="shared" si="13"/>
        <v>0</v>
      </c>
      <c r="K261" s="540">
        <f t="shared" si="13"/>
        <v>0</v>
      </c>
      <c r="L261" s="540">
        <f t="shared" si="13"/>
        <v>0</v>
      </c>
      <c r="M261" s="540">
        <f t="shared" si="13"/>
        <v>0</v>
      </c>
      <c r="N261" s="540">
        <f t="shared" si="13"/>
        <v>0</v>
      </c>
      <c r="O261" s="540">
        <f t="shared" ref="O261:Q261" si="14">SUM(O258:O259)</f>
        <v>0</v>
      </c>
      <c r="P261" s="540">
        <f t="shared" si="14"/>
        <v>0</v>
      </c>
      <c r="Q261" s="540">
        <f t="shared" si="14"/>
        <v>0</v>
      </c>
      <c r="R261" s="540">
        <f>SUM(R258:R260)</f>
        <v>0</v>
      </c>
      <c r="S261" s="540">
        <f>SUM(S258:S260)</f>
        <v>0</v>
      </c>
      <c r="T261" s="827">
        <f t="shared" ref="T261" si="15">SUM(T258:T259)</f>
        <v>60000</v>
      </c>
    </row>
    <row r="262" spans="1:22" x14ac:dyDescent="0.25">
      <c r="A262" s="591"/>
      <c r="B262" s="592"/>
      <c r="C262" s="593"/>
      <c r="D262" s="594"/>
      <c r="E262" s="595"/>
      <c r="F262" s="594"/>
      <c r="G262" s="594"/>
      <c r="H262" s="596"/>
      <c r="I262" s="596"/>
      <c r="J262" s="596"/>
      <c r="K262" s="596"/>
      <c r="L262" s="596"/>
      <c r="M262" s="596"/>
      <c r="N262" s="596"/>
      <c r="O262" s="596"/>
      <c r="P262" s="596"/>
      <c r="Q262" s="596"/>
      <c r="R262" s="596"/>
      <c r="S262" s="596"/>
      <c r="T262" s="838"/>
    </row>
    <row r="263" spans="1:22" x14ac:dyDescent="0.25">
      <c r="A263" s="588"/>
      <c r="B263" s="535" t="s">
        <v>1244</v>
      </c>
      <c r="C263" s="597">
        <f t="shared" ref="C263:T263" si="16">C55+C180+C254+C257+C261</f>
        <v>1749757.63</v>
      </c>
      <c r="D263" s="598">
        <f t="shared" si="16"/>
        <v>1769757.63</v>
      </c>
      <c r="E263" s="599">
        <f t="shared" si="16"/>
        <v>1395258.13</v>
      </c>
      <c r="F263" s="598">
        <f>F55+F180+F254+F257+F261</f>
        <v>1479844.02</v>
      </c>
      <c r="G263" s="598">
        <f t="shared" si="16"/>
        <v>0</v>
      </c>
      <c r="H263" s="589">
        <f t="shared" si="16"/>
        <v>79380.58</v>
      </c>
      <c r="I263" s="589">
        <f t="shared" si="16"/>
        <v>157225.41999999998</v>
      </c>
      <c r="J263" s="589">
        <f t="shared" si="16"/>
        <v>268031.52</v>
      </c>
      <c r="K263" s="589">
        <f t="shared" si="16"/>
        <v>342017.21</v>
      </c>
      <c r="L263" s="589">
        <f t="shared" si="16"/>
        <v>391356.77</v>
      </c>
      <c r="M263" s="589">
        <f t="shared" si="16"/>
        <v>468607.18000000005</v>
      </c>
      <c r="N263" s="589">
        <f t="shared" si="16"/>
        <v>484277.25000000006</v>
      </c>
      <c r="O263" s="600">
        <f t="shared" si="16"/>
        <v>582426.91</v>
      </c>
      <c r="P263" s="601">
        <f t="shared" si="16"/>
        <v>721845.62</v>
      </c>
      <c r="Q263" s="601">
        <f t="shared" si="16"/>
        <v>767911.67</v>
      </c>
      <c r="R263" s="601">
        <f t="shared" si="16"/>
        <v>917245.78</v>
      </c>
      <c r="S263" s="601">
        <f t="shared" si="16"/>
        <v>0</v>
      </c>
      <c r="T263" s="839">
        <f t="shared" si="16"/>
        <v>1215421.75</v>
      </c>
    </row>
    <row r="264" spans="1:22" x14ac:dyDescent="0.25">
      <c r="A264" s="475"/>
      <c r="B264" s="602" t="s">
        <v>888</v>
      </c>
      <c r="C264" s="603">
        <f t="shared" ref="C264:T264" si="17">C30</f>
        <v>2093000</v>
      </c>
      <c r="D264" s="604">
        <f t="shared" si="17"/>
        <v>2054000</v>
      </c>
      <c r="E264" s="605">
        <f t="shared" si="17"/>
        <v>2020618.47</v>
      </c>
      <c r="F264" s="604">
        <f t="shared" si="17"/>
        <v>1480000</v>
      </c>
      <c r="G264" s="604">
        <f t="shared" si="17"/>
        <v>0</v>
      </c>
      <c r="H264" s="606">
        <f t="shared" si="17"/>
        <v>629480.31999999995</v>
      </c>
      <c r="I264" s="606">
        <f t="shared" si="17"/>
        <v>636619.49</v>
      </c>
      <c r="J264" s="606">
        <f t="shared" si="17"/>
        <v>645850.54999999993</v>
      </c>
      <c r="K264" s="527">
        <f t="shared" si="17"/>
        <v>668576.54999999993</v>
      </c>
      <c r="L264" s="527">
        <f t="shared" si="17"/>
        <v>682840.79999999993</v>
      </c>
      <c r="M264" s="606">
        <f t="shared" si="17"/>
        <v>705619.79999999993</v>
      </c>
      <c r="N264" s="606">
        <f t="shared" si="17"/>
        <v>705919.6</v>
      </c>
      <c r="O264" s="606">
        <f t="shared" si="17"/>
        <v>961707.15</v>
      </c>
      <c r="P264" s="607">
        <f t="shared" si="17"/>
        <v>1180910.25</v>
      </c>
      <c r="Q264" s="607">
        <f t="shared" si="17"/>
        <v>1233145.43</v>
      </c>
      <c r="R264" s="607">
        <f t="shared" si="17"/>
        <v>1254708.3899999999</v>
      </c>
      <c r="S264" s="607">
        <f t="shared" si="17"/>
        <v>0</v>
      </c>
      <c r="T264" s="840">
        <f t="shared" si="17"/>
        <v>1500919.53</v>
      </c>
    </row>
    <row r="265" spans="1:22" x14ac:dyDescent="0.25">
      <c r="A265" s="591"/>
      <c r="B265" s="592"/>
      <c r="C265" s="593"/>
      <c r="D265" s="594"/>
      <c r="E265" s="595"/>
      <c r="F265" s="594"/>
      <c r="G265" s="594"/>
      <c r="H265" s="596"/>
      <c r="I265" s="596"/>
      <c r="J265" s="596"/>
      <c r="K265" s="596"/>
      <c r="L265" s="596"/>
      <c r="M265" s="596"/>
      <c r="N265" s="596"/>
      <c r="O265" s="596"/>
      <c r="P265" s="596"/>
      <c r="Q265" s="596"/>
      <c r="R265" s="596"/>
      <c r="S265" s="596"/>
      <c r="T265" s="838"/>
    </row>
    <row r="266" spans="1:22" s="615" customFormat="1" x14ac:dyDescent="0.25">
      <c r="A266" s="608"/>
      <c r="B266" s="609" t="s">
        <v>1245</v>
      </c>
      <c r="C266" s="610">
        <f t="shared" ref="C266:T266" si="18">C264-C263</f>
        <v>343242.37000000011</v>
      </c>
      <c r="D266" s="611">
        <f t="shared" si="18"/>
        <v>284242.37000000011</v>
      </c>
      <c r="E266" s="612">
        <f t="shared" si="18"/>
        <v>625360.34000000008</v>
      </c>
      <c r="F266" s="611">
        <f t="shared" si="18"/>
        <v>155.97999999998137</v>
      </c>
      <c r="G266" s="611">
        <f t="shared" si="18"/>
        <v>0</v>
      </c>
      <c r="H266" s="613">
        <f t="shared" si="18"/>
        <v>550099.74</v>
      </c>
      <c r="I266" s="613">
        <f t="shared" si="18"/>
        <v>479394.07</v>
      </c>
      <c r="J266" s="614">
        <f t="shared" si="18"/>
        <v>377819.02999999991</v>
      </c>
      <c r="K266" s="614">
        <f t="shared" si="18"/>
        <v>326559.33999999991</v>
      </c>
      <c r="L266" s="614">
        <f t="shared" si="18"/>
        <v>291484.02999999991</v>
      </c>
      <c r="M266" s="614">
        <f t="shared" si="18"/>
        <v>237012.61999999988</v>
      </c>
      <c r="N266" s="614">
        <f t="shared" si="18"/>
        <v>221642.34999999992</v>
      </c>
      <c r="O266" s="614">
        <f t="shared" si="18"/>
        <v>379280.24</v>
      </c>
      <c r="P266" s="614">
        <f t="shared" si="18"/>
        <v>459064.63</v>
      </c>
      <c r="Q266" s="614">
        <f t="shared" si="18"/>
        <v>465233.75999999989</v>
      </c>
      <c r="R266" s="614">
        <f t="shared" si="18"/>
        <v>337462.60999999987</v>
      </c>
      <c r="S266" s="614">
        <f t="shared" si="18"/>
        <v>0</v>
      </c>
      <c r="T266" s="841">
        <f t="shared" si="18"/>
        <v>285497.78000000003</v>
      </c>
      <c r="U266" s="435">
        <v>200000</v>
      </c>
      <c r="V266" s="460"/>
    </row>
    <row r="267" spans="1:22" x14ac:dyDescent="0.25">
      <c r="C267" s="616"/>
      <c r="D267" s="617"/>
      <c r="E267" s="618"/>
      <c r="F267" s="619"/>
      <c r="G267" s="619"/>
      <c r="H267" s="620"/>
      <c r="I267" s="620"/>
      <c r="J267" s="620"/>
      <c r="K267" s="620"/>
      <c r="L267" s="620"/>
      <c r="M267" s="620"/>
      <c r="N267" s="620"/>
      <c r="O267" s="620"/>
      <c r="P267" s="620"/>
      <c r="Q267" s="620"/>
      <c r="R267" s="620"/>
      <c r="S267" s="620"/>
      <c r="T267" s="620"/>
      <c r="V267" s="621"/>
    </row>
    <row r="268" spans="1:22" s="523" customFormat="1" x14ac:dyDescent="0.25">
      <c r="C268" s="622" t="s">
        <v>1246</v>
      </c>
      <c r="D268" s="623" t="s">
        <v>1246</v>
      </c>
      <c r="E268" s="624"/>
      <c r="F268" s="625" t="s">
        <v>1247</v>
      </c>
      <c r="G268" s="625" t="s">
        <v>1247</v>
      </c>
      <c r="O268" s="41"/>
      <c r="U268" s="522"/>
      <c r="V268" s="626"/>
    </row>
    <row r="269" spans="1:22" s="523" customFormat="1" x14ac:dyDescent="0.25">
      <c r="B269" s="627" t="s">
        <v>534</v>
      </c>
      <c r="C269" s="616"/>
      <c r="D269" s="617"/>
      <c r="E269" s="628"/>
      <c r="F269" s="619"/>
      <c r="G269" s="619"/>
      <c r="H269" s="629"/>
      <c r="I269" s="629"/>
      <c r="J269" s="629"/>
      <c r="K269" s="629"/>
      <c r="L269" s="629"/>
      <c r="M269" s="629"/>
      <c r="N269" s="629"/>
      <c r="O269" s="620"/>
      <c r="P269" s="629"/>
      <c r="Q269" s="629"/>
      <c r="R269" s="629"/>
      <c r="S269" s="629"/>
      <c r="T269" s="629"/>
      <c r="U269" s="522"/>
      <c r="V269" s="630"/>
    </row>
    <row r="270" spans="1:22" s="523" customFormat="1" x14ac:dyDescent="0.25">
      <c r="B270" s="631" t="s">
        <v>537</v>
      </c>
      <c r="C270" s="632">
        <f>C281</f>
        <v>658242.37000000011</v>
      </c>
      <c r="D270" s="633">
        <f>D281</f>
        <v>599242.37000000011</v>
      </c>
      <c r="E270" s="634">
        <v>940360.34</v>
      </c>
      <c r="F270" s="635">
        <f>F281</f>
        <v>180155.97999999998</v>
      </c>
      <c r="G270" s="635"/>
      <c r="H270" s="636">
        <v>865099.74</v>
      </c>
      <c r="I270" s="636">
        <v>794394.07</v>
      </c>
      <c r="J270" s="636">
        <v>692819.03</v>
      </c>
      <c r="K270" s="637">
        <v>641559.34</v>
      </c>
      <c r="L270" s="637">
        <v>606484.03</v>
      </c>
      <c r="M270" s="637">
        <v>552012.62</v>
      </c>
      <c r="N270" s="637">
        <v>536642.35</v>
      </c>
      <c r="O270" s="638">
        <v>694280.24</v>
      </c>
      <c r="P270" s="638">
        <v>774064.63</v>
      </c>
      <c r="Q270" s="638">
        <v>780233.76</v>
      </c>
      <c r="R270" s="638">
        <v>652462.61</v>
      </c>
      <c r="S270" s="638"/>
      <c r="T270" s="638"/>
      <c r="U270" s="522"/>
      <c r="V270" s="630"/>
    </row>
    <row r="271" spans="1:22" s="523" customFormat="1" x14ac:dyDescent="0.25">
      <c r="B271" s="631" t="s">
        <v>538</v>
      </c>
      <c r="C271" s="632">
        <v>0</v>
      </c>
      <c r="D271" s="633">
        <v>0</v>
      </c>
      <c r="E271" s="634"/>
      <c r="F271" s="635">
        <v>0</v>
      </c>
      <c r="G271" s="635">
        <v>0</v>
      </c>
      <c r="H271" s="637">
        <v>0</v>
      </c>
      <c r="I271" s="637">
        <v>0</v>
      </c>
      <c r="J271" s="637">
        <v>0</v>
      </c>
      <c r="K271" s="637">
        <v>0</v>
      </c>
      <c r="L271" s="637">
        <v>0</v>
      </c>
      <c r="M271" s="637">
        <v>0</v>
      </c>
      <c r="N271" s="637">
        <v>0</v>
      </c>
      <c r="O271" s="638">
        <v>0</v>
      </c>
      <c r="P271" s="638">
        <v>0</v>
      </c>
      <c r="Q271" s="638">
        <v>0</v>
      </c>
      <c r="R271" s="638">
        <v>0</v>
      </c>
      <c r="S271" s="638"/>
      <c r="T271" s="638"/>
      <c r="U271" s="522"/>
      <c r="V271" s="630"/>
    </row>
    <row r="272" spans="1:22" s="523" customFormat="1" x14ac:dyDescent="0.25">
      <c r="B272" s="631" t="s">
        <v>539</v>
      </c>
      <c r="C272" s="632">
        <v>0</v>
      </c>
      <c r="D272" s="633">
        <v>0</v>
      </c>
      <c r="E272" s="634"/>
      <c r="F272" s="635">
        <v>0</v>
      </c>
      <c r="G272" s="635">
        <v>0</v>
      </c>
      <c r="H272" s="637">
        <v>0</v>
      </c>
      <c r="I272" s="637">
        <v>0</v>
      </c>
      <c r="J272" s="639">
        <v>0</v>
      </c>
      <c r="K272" s="637">
        <v>0</v>
      </c>
      <c r="L272" s="637">
        <v>0</v>
      </c>
      <c r="M272" s="637">
        <v>0</v>
      </c>
      <c r="N272" s="637">
        <v>0</v>
      </c>
      <c r="O272" s="638">
        <v>0</v>
      </c>
      <c r="P272" s="638">
        <v>0</v>
      </c>
      <c r="Q272" s="638">
        <v>0</v>
      </c>
      <c r="R272" s="638">
        <v>0</v>
      </c>
      <c r="S272" s="638">
        <v>0</v>
      </c>
      <c r="T272" s="638"/>
      <c r="U272" s="522"/>
      <c r="V272" s="630"/>
    </row>
    <row r="273" spans="2:22" s="523" customFormat="1" x14ac:dyDescent="0.25">
      <c r="B273" s="640"/>
      <c r="C273" s="632"/>
      <c r="D273" s="633"/>
      <c r="E273" s="634">
        <v>0</v>
      </c>
      <c r="F273" s="635"/>
      <c r="G273" s="635"/>
      <c r="H273" s="637"/>
      <c r="I273" s="637"/>
      <c r="J273" s="639"/>
      <c r="K273" s="637"/>
      <c r="L273" s="637"/>
      <c r="M273" s="637"/>
      <c r="N273" s="637"/>
      <c r="O273" s="641"/>
      <c r="P273" s="638"/>
      <c r="Q273" s="638"/>
      <c r="R273" s="638"/>
      <c r="S273" s="638"/>
      <c r="T273" s="638">
        <v>0</v>
      </c>
      <c r="U273" s="522"/>
      <c r="V273" s="630"/>
    </row>
    <row r="274" spans="2:22" s="523" customFormat="1" x14ac:dyDescent="0.25">
      <c r="B274" s="627" t="s">
        <v>541</v>
      </c>
      <c r="C274" s="642">
        <f>SUM(C270:C273)</f>
        <v>658242.37000000011</v>
      </c>
      <c r="D274" s="643">
        <f>SUM(D270:D273)</f>
        <v>599242.37000000011</v>
      </c>
      <c r="E274" s="644">
        <f t="shared" ref="E274" si="19">SUM(E270:E273)</f>
        <v>940360.34</v>
      </c>
      <c r="F274" s="645">
        <f>SUM(F270:F273)</f>
        <v>180155.97999999998</v>
      </c>
      <c r="G274" s="645">
        <f>SUM(G270:G273)</f>
        <v>0</v>
      </c>
      <c r="H274" s="646">
        <f t="shared" ref="H274:N274" si="20">SUM(H270:H272)</f>
        <v>865099.74</v>
      </c>
      <c r="I274" s="646">
        <f t="shared" si="20"/>
        <v>794394.07</v>
      </c>
      <c r="J274" s="646">
        <f t="shared" si="20"/>
        <v>692819.03</v>
      </c>
      <c r="K274" s="646">
        <f t="shared" si="20"/>
        <v>641559.34</v>
      </c>
      <c r="L274" s="647">
        <f t="shared" si="20"/>
        <v>606484.03</v>
      </c>
      <c r="M274" s="647">
        <f t="shared" si="20"/>
        <v>552012.62</v>
      </c>
      <c r="N274" s="647">
        <f t="shared" si="20"/>
        <v>536642.35</v>
      </c>
      <c r="O274" s="647">
        <f t="shared" ref="O274:T274" si="21">SUM(O270:O273)</f>
        <v>694280.24</v>
      </c>
      <c r="P274" s="647">
        <f t="shared" si="21"/>
        <v>774064.63</v>
      </c>
      <c r="Q274" s="647">
        <f t="shared" si="21"/>
        <v>780233.76</v>
      </c>
      <c r="R274" s="647">
        <f t="shared" si="21"/>
        <v>652462.61</v>
      </c>
      <c r="S274" s="647">
        <f t="shared" si="21"/>
        <v>0</v>
      </c>
      <c r="T274" s="647">
        <f t="shared" si="21"/>
        <v>0</v>
      </c>
      <c r="U274" s="522"/>
      <c r="V274" s="630"/>
    </row>
    <row r="275" spans="2:22" s="523" customFormat="1" x14ac:dyDescent="0.25">
      <c r="C275" s="648"/>
      <c r="D275" s="649"/>
      <c r="E275" s="634"/>
      <c r="F275" s="641"/>
      <c r="G275" s="641"/>
      <c r="H275" s="637"/>
      <c r="I275" s="637"/>
      <c r="J275" s="637"/>
      <c r="K275" s="637"/>
      <c r="L275" s="637"/>
      <c r="M275" s="637"/>
      <c r="N275" s="637"/>
      <c r="O275" s="638"/>
      <c r="P275" s="638"/>
      <c r="Q275" s="638"/>
      <c r="R275" s="638"/>
      <c r="S275" s="638"/>
      <c r="T275" s="638"/>
      <c r="U275" s="522"/>
      <c r="V275" s="630"/>
    </row>
    <row r="276" spans="2:22" s="523" customFormat="1" x14ac:dyDescent="0.25">
      <c r="B276" s="627" t="s">
        <v>542</v>
      </c>
      <c r="C276" s="648"/>
      <c r="D276" s="649"/>
      <c r="E276" s="634"/>
      <c r="F276" s="641"/>
      <c r="G276" s="641"/>
      <c r="H276" s="650"/>
      <c r="I276" s="650"/>
      <c r="J276" s="650"/>
      <c r="K276" s="650"/>
      <c r="L276" s="650"/>
      <c r="M276" s="650"/>
      <c r="N276" s="650"/>
      <c r="O276" s="638"/>
      <c r="P276" s="638"/>
      <c r="Q276" s="638"/>
      <c r="R276" s="638"/>
      <c r="S276" s="638"/>
      <c r="T276" s="638"/>
      <c r="U276" s="522"/>
      <c r="V276" s="630"/>
    </row>
    <row r="277" spans="2:22" s="523" customFormat="1" x14ac:dyDescent="0.25">
      <c r="B277" s="631" t="s">
        <v>543</v>
      </c>
      <c r="C277" s="642">
        <f>C$266</f>
        <v>343242.37000000011</v>
      </c>
      <c r="D277" s="643">
        <f>D266</f>
        <v>284242.37000000011</v>
      </c>
      <c r="E277" s="644">
        <f t="shared" ref="E277" si="22">E266</f>
        <v>625360.34000000008</v>
      </c>
      <c r="F277" s="645">
        <f>F$266</f>
        <v>155.97999999998137</v>
      </c>
      <c r="G277" s="645">
        <f>G266</f>
        <v>0</v>
      </c>
      <c r="H277" s="645">
        <f t="shared" ref="H277:T277" si="23">H266</f>
        <v>550099.74</v>
      </c>
      <c r="I277" s="647">
        <f t="shared" si="23"/>
        <v>479394.07</v>
      </c>
      <c r="J277" s="647">
        <f t="shared" si="23"/>
        <v>377819.02999999991</v>
      </c>
      <c r="K277" s="647">
        <f t="shared" si="23"/>
        <v>326559.33999999991</v>
      </c>
      <c r="L277" s="647">
        <f t="shared" si="23"/>
        <v>291484.02999999991</v>
      </c>
      <c r="M277" s="647">
        <f t="shared" si="23"/>
        <v>237012.61999999988</v>
      </c>
      <c r="N277" s="647">
        <f t="shared" si="23"/>
        <v>221642.34999999992</v>
      </c>
      <c r="O277" s="647">
        <f t="shared" si="23"/>
        <v>379280.24</v>
      </c>
      <c r="P277" s="647">
        <f t="shared" si="23"/>
        <v>459064.63</v>
      </c>
      <c r="Q277" s="647">
        <f t="shared" si="23"/>
        <v>465233.75999999989</v>
      </c>
      <c r="R277" s="647">
        <f t="shared" si="23"/>
        <v>337462.60999999987</v>
      </c>
      <c r="S277" s="647">
        <f t="shared" si="23"/>
        <v>0</v>
      </c>
      <c r="T277" s="647">
        <f t="shared" si="23"/>
        <v>285497.78000000003</v>
      </c>
      <c r="U277" s="522"/>
      <c r="V277" s="630"/>
    </row>
    <row r="278" spans="2:22" s="523" customFormat="1" x14ac:dyDescent="0.25">
      <c r="B278" s="631" t="s">
        <v>522</v>
      </c>
      <c r="C278" s="642">
        <v>115000</v>
      </c>
      <c r="D278" s="643">
        <v>115000</v>
      </c>
      <c r="E278" s="651">
        <v>115000</v>
      </c>
      <c r="F278" s="645">
        <v>115000</v>
      </c>
      <c r="G278" s="645">
        <v>115000</v>
      </c>
      <c r="H278" s="652">
        <v>115000</v>
      </c>
      <c r="I278" s="637">
        <v>115000</v>
      </c>
      <c r="J278" s="637">
        <v>115000</v>
      </c>
      <c r="K278" s="637">
        <v>115000</v>
      </c>
      <c r="L278" s="637">
        <v>115000</v>
      </c>
      <c r="M278" s="637">
        <v>115000</v>
      </c>
      <c r="N278" s="637">
        <v>115000</v>
      </c>
      <c r="O278" s="637">
        <v>115000</v>
      </c>
      <c r="P278" s="637">
        <v>115000</v>
      </c>
      <c r="Q278" s="637">
        <v>115000</v>
      </c>
      <c r="R278" s="637">
        <v>115000</v>
      </c>
      <c r="S278" s="637"/>
      <c r="T278" s="637">
        <v>115000</v>
      </c>
      <c r="U278" s="522"/>
      <c r="V278" s="630"/>
    </row>
    <row r="279" spans="2:22" s="523" customFormat="1" x14ac:dyDescent="0.25">
      <c r="B279" s="631" t="s">
        <v>1248</v>
      </c>
      <c r="C279" s="642">
        <v>5000</v>
      </c>
      <c r="D279" s="643">
        <v>5000</v>
      </c>
      <c r="E279" s="651">
        <v>5000</v>
      </c>
      <c r="F279" s="645">
        <v>5000</v>
      </c>
      <c r="G279" s="645">
        <v>5000</v>
      </c>
      <c r="H279" s="652">
        <v>5000</v>
      </c>
      <c r="I279" s="637">
        <v>5000</v>
      </c>
      <c r="J279" s="637">
        <v>5000</v>
      </c>
      <c r="K279" s="637">
        <v>5000</v>
      </c>
      <c r="L279" s="637">
        <v>5000</v>
      </c>
      <c r="M279" s="637">
        <v>5000</v>
      </c>
      <c r="N279" s="637">
        <v>5000</v>
      </c>
      <c r="O279" s="637">
        <v>5000</v>
      </c>
      <c r="P279" s="637">
        <v>5000</v>
      </c>
      <c r="Q279" s="637">
        <v>5000</v>
      </c>
      <c r="R279" s="637">
        <v>5000</v>
      </c>
      <c r="S279" s="637"/>
      <c r="T279" s="637">
        <v>5000</v>
      </c>
      <c r="U279" s="522"/>
      <c r="V279" s="630"/>
    </row>
    <row r="280" spans="2:22" s="523" customFormat="1" x14ac:dyDescent="0.25">
      <c r="B280" s="631" t="s">
        <v>545</v>
      </c>
      <c r="C280" s="642">
        <v>195000</v>
      </c>
      <c r="D280" s="643">
        <v>195000</v>
      </c>
      <c r="E280" s="651">
        <v>195000</v>
      </c>
      <c r="F280" s="645">
        <v>60000</v>
      </c>
      <c r="G280" s="645">
        <v>60000</v>
      </c>
      <c r="H280" s="652">
        <v>195000</v>
      </c>
      <c r="I280" s="637">
        <v>195000</v>
      </c>
      <c r="J280" s="637">
        <v>195000</v>
      </c>
      <c r="K280" s="637">
        <v>195000</v>
      </c>
      <c r="L280" s="637">
        <v>195000</v>
      </c>
      <c r="M280" s="637">
        <v>195000</v>
      </c>
      <c r="N280" s="637">
        <v>195000</v>
      </c>
      <c r="O280" s="637">
        <v>195000</v>
      </c>
      <c r="P280" s="637">
        <v>195000</v>
      </c>
      <c r="Q280" s="637">
        <v>195000</v>
      </c>
      <c r="R280" s="637">
        <v>195000</v>
      </c>
      <c r="S280" s="637"/>
      <c r="T280" s="637">
        <v>60000</v>
      </c>
      <c r="U280" s="522"/>
      <c r="V280" s="630"/>
    </row>
    <row r="281" spans="2:22" s="523" customFormat="1" x14ac:dyDescent="0.25">
      <c r="B281" s="627" t="s">
        <v>547</v>
      </c>
      <c r="C281" s="642">
        <f>SUM(C$277:C$280)</f>
        <v>658242.37000000011</v>
      </c>
      <c r="D281" s="643">
        <f>SUM(D277:D280)</f>
        <v>599242.37000000011</v>
      </c>
      <c r="E281" s="644">
        <f t="shared" ref="E281" si="24">SUM(E277:E280)</f>
        <v>940360.34000000008</v>
      </c>
      <c r="F281" s="645">
        <f>SUM(F$277:F$280)</f>
        <v>180155.97999999998</v>
      </c>
      <c r="G281" s="645">
        <f>SUM(G277:G280)</f>
        <v>180000</v>
      </c>
      <c r="H281" s="645">
        <f>SUM(H$277:H$280)</f>
        <v>865099.74</v>
      </c>
      <c r="I281" s="646">
        <f t="shared" ref="I281:T281" si="25">SUM(I277:I280)</f>
        <v>794394.07000000007</v>
      </c>
      <c r="J281" s="646">
        <f t="shared" si="25"/>
        <v>692819.02999999991</v>
      </c>
      <c r="K281" s="647">
        <f t="shared" si="25"/>
        <v>641559.33999999985</v>
      </c>
      <c r="L281" s="647">
        <f t="shared" si="25"/>
        <v>606484.02999999991</v>
      </c>
      <c r="M281" s="647">
        <f t="shared" si="25"/>
        <v>552012.61999999988</v>
      </c>
      <c r="N281" s="647">
        <f t="shared" si="25"/>
        <v>536642.34999999986</v>
      </c>
      <c r="O281" s="647">
        <f t="shared" si="25"/>
        <v>694280.24</v>
      </c>
      <c r="P281" s="647">
        <f t="shared" si="25"/>
        <v>774064.63</v>
      </c>
      <c r="Q281" s="647">
        <f t="shared" si="25"/>
        <v>780233.75999999989</v>
      </c>
      <c r="R281" s="647">
        <f t="shared" si="25"/>
        <v>652462.60999999987</v>
      </c>
      <c r="S281" s="647">
        <f t="shared" si="25"/>
        <v>0</v>
      </c>
      <c r="T281" s="647">
        <f t="shared" si="25"/>
        <v>465497.78</v>
      </c>
      <c r="U281" s="522"/>
      <c r="V281" s="630"/>
    </row>
    <row r="282" spans="2:22" s="523" customFormat="1" x14ac:dyDescent="0.25">
      <c r="C282" s="642"/>
      <c r="D282" s="643"/>
      <c r="E282" s="653"/>
      <c r="F282" s="645"/>
      <c r="G282" s="645"/>
      <c r="H282" s="629"/>
      <c r="I282" s="629"/>
      <c r="J282" s="629"/>
      <c r="K282" s="629"/>
      <c r="L282" s="629"/>
      <c r="M282" s="629"/>
      <c r="N282" s="629"/>
      <c r="O282" s="654"/>
      <c r="P282" s="655"/>
      <c r="Q282" s="655"/>
      <c r="R282" s="655"/>
      <c r="S282" s="655"/>
      <c r="T282" s="655"/>
      <c r="U282" s="522"/>
      <c r="V282" s="630"/>
    </row>
    <row r="283" spans="2:22" s="523" customFormat="1" x14ac:dyDescent="0.25">
      <c r="B283" s="627"/>
      <c r="C283" s="656"/>
      <c r="D283" s="657"/>
      <c r="E283" s="653"/>
      <c r="F283" s="658"/>
      <c r="G283" s="658"/>
      <c r="J283" s="569"/>
      <c r="K283" s="569"/>
      <c r="O283" s="654"/>
      <c r="P283" s="655"/>
      <c r="Q283" s="655"/>
      <c r="R283" s="655"/>
      <c r="S283" s="655"/>
      <c r="T283" s="655"/>
      <c r="U283" s="522"/>
      <c r="V283" s="630"/>
    </row>
    <row r="284" spans="2:22" s="461" customFormat="1" x14ac:dyDescent="0.25">
      <c r="B284" s="627" t="s">
        <v>548</v>
      </c>
      <c r="C284" s="659" t="s">
        <v>1246</v>
      </c>
      <c r="D284" s="660" t="s">
        <v>1246</v>
      </c>
      <c r="E284" s="661"/>
      <c r="F284" s="662" t="s">
        <v>1246</v>
      </c>
      <c r="G284" s="662" t="s">
        <v>1247</v>
      </c>
      <c r="H284" s="663"/>
      <c r="I284" s="663"/>
      <c r="J284" s="663"/>
      <c r="K284" s="663"/>
      <c r="L284" s="663"/>
      <c r="M284" s="663"/>
      <c r="N284" s="663"/>
      <c r="O284" s="663"/>
      <c r="P284" s="663"/>
      <c r="Q284" s="663"/>
      <c r="R284" s="663"/>
      <c r="S284" s="663"/>
      <c r="T284" s="663"/>
      <c r="U284" s="459"/>
      <c r="V284" s="436"/>
    </row>
    <row r="285" spans="2:22" x14ac:dyDescent="0.25">
      <c r="B285" s="664"/>
      <c r="C285" s="642"/>
      <c r="D285" s="643"/>
      <c r="E285" s="665"/>
      <c r="F285" s="645"/>
      <c r="G285" s="645"/>
      <c r="H285" s="620"/>
      <c r="I285" s="620"/>
      <c r="J285" s="620"/>
      <c r="K285" s="620"/>
      <c r="L285" s="620"/>
      <c r="M285" s="620"/>
      <c r="N285" s="620"/>
      <c r="O285" s="666"/>
      <c r="P285" s="654"/>
      <c r="Q285" s="654"/>
      <c r="R285" s="654"/>
      <c r="S285" s="654"/>
      <c r="T285" s="654"/>
    </row>
    <row r="286" spans="2:22" s="461" customFormat="1" x14ac:dyDescent="0.25">
      <c r="B286" s="667" t="s">
        <v>534</v>
      </c>
      <c r="C286" s="668">
        <f>C274</f>
        <v>658242.37000000011</v>
      </c>
      <c r="D286" s="669">
        <f>D281</f>
        <v>599242.37000000011</v>
      </c>
      <c r="E286" s="661"/>
      <c r="F286" s="670">
        <f>F274</f>
        <v>180155.97999999998</v>
      </c>
      <c r="G286" s="670"/>
      <c r="H286" s="663"/>
      <c r="I286" s="663"/>
      <c r="J286" s="663"/>
      <c r="K286" s="663"/>
      <c r="L286" s="663"/>
      <c r="M286" s="663"/>
      <c r="N286" s="663"/>
      <c r="O286" s="663"/>
      <c r="P286" s="663"/>
      <c r="Q286" s="663"/>
      <c r="R286" s="663"/>
      <c r="S286" s="663"/>
      <c r="T286" s="663"/>
      <c r="U286" s="459"/>
      <c r="V286" s="436"/>
    </row>
    <row r="287" spans="2:22" s="461" customFormat="1" x14ac:dyDescent="0.25">
      <c r="B287" s="671" t="s">
        <v>1249</v>
      </c>
      <c r="C287" s="642"/>
      <c r="D287" s="643"/>
      <c r="E287" s="665"/>
      <c r="F287" s="645"/>
      <c r="G287" s="645"/>
      <c r="H287" s="620"/>
      <c r="I287" s="620"/>
      <c r="J287" s="620"/>
      <c r="K287" s="620"/>
      <c r="L287" s="620"/>
      <c r="M287" s="620"/>
      <c r="N287" s="620"/>
      <c r="O287" s="654"/>
      <c r="P287" s="654"/>
      <c r="Q287" s="654"/>
      <c r="R287" s="654"/>
      <c r="S287" s="654"/>
      <c r="T287" s="654"/>
      <c r="U287" s="459"/>
      <c r="V287" s="436"/>
    </row>
    <row r="288" spans="2:22" s="461" customFormat="1" x14ac:dyDescent="0.25">
      <c r="B288" s="667" t="s">
        <v>1250</v>
      </c>
      <c r="C288" s="642">
        <f>C24*0.05</f>
        <v>61050</v>
      </c>
      <c r="D288" s="643">
        <f>D24*0.05</f>
        <v>59000</v>
      </c>
      <c r="E288" s="661"/>
      <c r="F288" s="645">
        <f>F24*0.05</f>
        <v>28000</v>
      </c>
      <c r="G288" s="645">
        <f>G24*0.05</f>
        <v>0</v>
      </c>
      <c r="H288" s="663"/>
      <c r="I288" s="663"/>
      <c r="J288" s="663"/>
      <c r="K288" s="663"/>
      <c r="L288" s="672"/>
      <c r="M288" s="663"/>
      <c r="N288" s="663"/>
      <c r="O288" s="663"/>
      <c r="P288" s="663"/>
      <c r="Q288" s="663"/>
      <c r="R288" s="663"/>
      <c r="S288" s="663"/>
      <c r="T288" s="663"/>
      <c r="U288" s="459"/>
      <c r="V288" s="436"/>
    </row>
    <row r="289" spans="2:7" x14ac:dyDescent="0.25">
      <c r="B289" s="673" t="s">
        <v>1251</v>
      </c>
      <c r="C289" s="674">
        <f>C286-C288</f>
        <v>597192.37000000011</v>
      </c>
      <c r="D289" s="675">
        <f>D286-D288</f>
        <v>540242.37000000011</v>
      </c>
      <c r="F289" s="677">
        <f>F286-F288</f>
        <v>152155.97999999998</v>
      </c>
      <c r="G289" s="677">
        <f>G286-G288</f>
        <v>0</v>
      </c>
    </row>
    <row r="290" spans="2:7" x14ac:dyDescent="0.25">
      <c r="C290" s="656"/>
      <c r="D290" s="657"/>
      <c r="F290" s="658"/>
      <c r="G290" s="658"/>
    </row>
    <row r="291" spans="2:7" x14ac:dyDescent="0.25">
      <c r="B291" s="678" t="s">
        <v>1252</v>
      </c>
      <c r="C291" s="642">
        <f>C24*0.18</f>
        <v>219780</v>
      </c>
      <c r="D291" s="643">
        <f>D24*0.18</f>
        <v>212400</v>
      </c>
      <c r="F291" s="645">
        <f>F24*0.18</f>
        <v>100800</v>
      </c>
      <c r="G291" s="645">
        <f>G24*0.18</f>
        <v>0</v>
      </c>
    </row>
    <row r="292" spans="2:7" x14ac:dyDescent="0.25">
      <c r="B292" s="664"/>
    </row>
    <row r="293" spans="2:7" x14ac:dyDescent="0.25">
      <c r="B293" s="682" t="s">
        <v>1253</v>
      </c>
      <c r="C293" s="683">
        <f>C289-C291</f>
        <v>377412.37000000011</v>
      </c>
      <c r="D293" s="684">
        <f>D289-D291</f>
        <v>327842.37000000011</v>
      </c>
      <c r="F293" s="685">
        <f>F289-F291</f>
        <v>51355.979999999981</v>
      </c>
      <c r="G293" s="685">
        <f>G289-G291</f>
        <v>0</v>
      </c>
    </row>
  </sheetData>
  <pageMargins left="1.1023622047244095" right="0.31496062992125984" top="0.39370078740157483" bottom="0.59055118110236227" header="0.31496062992125984" footer="0.31496062992125984"/>
  <pageSetup paperSize="8"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3"/>
  <sheetViews>
    <sheetView workbookViewId="0">
      <selection activeCell="C4" sqref="C4"/>
    </sheetView>
  </sheetViews>
  <sheetFormatPr baseColWidth="10" defaultColWidth="11.42578125" defaultRowHeight="15" x14ac:dyDescent="0.25"/>
  <cols>
    <col min="1" max="1" width="36.42578125" customWidth="1"/>
    <col min="3" max="4" width="13.5703125" customWidth="1"/>
    <col min="5" max="5" width="19.42578125" customWidth="1"/>
    <col min="6" max="6" width="33.7109375" customWidth="1"/>
    <col min="8" max="8" width="13.5703125" customWidth="1"/>
  </cols>
  <sheetData>
    <row r="1" spans="1:10" ht="30" customHeight="1" x14ac:dyDescent="0.25">
      <c r="A1" s="64" t="s">
        <v>126</v>
      </c>
    </row>
    <row r="2" spans="1:10" ht="20.25" customHeight="1" x14ac:dyDescent="0.25">
      <c r="A2" s="22" t="s">
        <v>553</v>
      </c>
      <c r="F2" s="22" t="s">
        <v>554</v>
      </c>
    </row>
    <row r="3" spans="1:10" s="41" customFormat="1" ht="36" customHeight="1" x14ac:dyDescent="0.25">
      <c r="A3" s="41" t="s">
        <v>555</v>
      </c>
      <c r="B3" s="41" t="s">
        <v>556</v>
      </c>
      <c r="C3" s="41" t="s">
        <v>557</v>
      </c>
      <c r="F3" s="41" t="s">
        <v>555</v>
      </c>
      <c r="G3" s="41" t="s">
        <v>556</v>
      </c>
      <c r="H3" s="41" t="s">
        <v>557</v>
      </c>
    </row>
    <row r="4" spans="1:10" x14ac:dyDescent="0.25">
      <c r="A4" t="s">
        <v>558</v>
      </c>
      <c r="B4" t="s">
        <v>559</v>
      </c>
      <c r="C4" s="14">
        <f>(400*12)+(240*12)</f>
        <v>7680</v>
      </c>
      <c r="F4" t="s">
        <v>558</v>
      </c>
      <c r="G4" t="s">
        <v>559</v>
      </c>
      <c r="H4" s="14">
        <f>(400*12)+(240*12)</f>
        <v>7680</v>
      </c>
    </row>
    <row r="5" spans="1:10" x14ac:dyDescent="0.25">
      <c r="A5" t="s">
        <v>560</v>
      </c>
      <c r="B5" t="s">
        <v>559</v>
      </c>
      <c r="C5" s="14">
        <f>(320*12)+(160*12)</f>
        <v>5760</v>
      </c>
      <c r="F5" t="s">
        <v>560</v>
      </c>
      <c r="G5" t="s">
        <v>559</v>
      </c>
      <c r="H5" s="14">
        <f>(320*12)+(160*12)</f>
        <v>5760</v>
      </c>
    </row>
    <row r="6" spans="1:10" x14ac:dyDescent="0.25">
      <c r="A6" t="s">
        <v>561</v>
      </c>
      <c r="B6" t="s">
        <v>559</v>
      </c>
      <c r="C6" s="14">
        <v>4000</v>
      </c>
      <c r="D6" s="16">
        <f>SUM(C4:C6)</f>
        <v>17440</v>
      </c>
      <c r="E6" t="s">
        <v>562</v>
      </c>
      <c r="F6" t="s">
        <v>561</v>
      </c>
      <c r="G6" t="s">
        <v>559</v>
      </c>
      <c r="H6" s="14">
        <v>4000</v>
      </c>
      <c r="I6" s="16">
        <f>SUM(H4:H6)</f>
        <v>17440</v>
      </c>
      <c r="J6" t="s">
        <v>562</v>
      </c>
    </row>
    <row r="7" spans="1:10" x14ac:dyDescent="0.25">
      <c r="A7" t="s">
        <v>563</v>
      </c>
      <c r="B7" t="s">
        <v>559</v>
      </c>
      <c r="C7" s="14">
        <f>800*5*12</f>
        <v>48000</v>
      </c>
      <c r="D7" s="16">
        <v>9600</v>
      </c>
      <c r="E7" t="s">
        <v>564</v>
      </c>
      <c r="F7" t="s">
        <v>563</v>
      </c>
      <c r="G7" t="s">
        <v>559</v>
      </c>
      <c r="H7" s="14">
        <f>800*5*12</f>
        <v>48000</v>
      </c>
      <c r="I7" s="16">
        <v>9600</v>
      </c>
      <c r="J7" t="s">
        <v>564</v>
      </c>
    </row>
    <row r="8" spans="1:10" x14ac:dyDescent="0.25">
      <c r="A8" t="s">
        <v>565</v>
      </c>
      <c r="B8" t="s">
        <v>566</v>
      </c>
      <c r="C8" s="14">
        <v>1000</v>
      </c>
      <c r="F8" t="s">
        <v>565</v>
      </c>
      <c r="G8" t="s">
        <v>566</v>
      </c>
      <c r="H8" s="14">
        <v>1500</v>
      </c>
    </row>
    <row r="9" spans="1:10" x14ac:dyDescent="0.25">
      <c r="A9" t="s">
        <v>567</v>
      </c>
      <c r="B9" t="s">
        <v>566</v>
      </c>
      <c r="C9" s="14">
        <v>17320</v>
      </c>
      <c r="F9" t="s">
        <v>567</v>
      </c>
      <c r="G9" t="s">
        <v>566</v>
      </c>
      <c r="H9" s="14">
        <f>D21+D22+D23</f>
        <v>25010</v>
      </c>
    </row>
    <row r="10" spans="1:10" x14ac:dyDescent="0.25">
      <c r="A10" t="s">
        <v>568</v>
      </c>
      <c r="B10" t="s">
        <v>566</v>
      </c>
      <c r="C10" s="14">
        <v>1000</v>
      </c>
      <c r="F10" t="s">
        <v>568</v>
      </c>
      <c r="G10" t="s">
        <v>566</v>
      </c>
      <c r="H10" s="14">
        <v>1000</v>
      </c>
    </row>
    <row r="11" spans="1:10" x14ac:dyDescent="0.25">
      <c r="A11" t="s">
        <v>569</v>
      </c>
      <c r="B11" t="s">
        <v>566</v>
      </c>
      <c r="C11" s="14">
        <v>6740</v>
      </c>
      <c r="F11" t="s">
        <v>569</v>
      </c>
      <c r="G11" t="s">
        <v>566</v>
      </c>
      <c r="H11" s="14">
        <v>6740</v>
      </c>
    </row>
    <row r="12" spans="1:10" x14ac:dyDescent="0.25">
      <c r="A12" t="s">
        <v>570</v>
      </c>
      <c r="B12" t="s">
        <v>566</v>
      </c>
      <c r="C12" s="14">
        <v>0</v>
      </c>
      <c r="F12" t="s">
        <v>570</v>
      </c>
      <c r="G12" t="s">
        <v>566</v>
      </c>
      <c r="H12" s="14">
        <v>1000</v>
      </c>
    </row>
    <row r="13" spans="1:10" x14ac:dyDescent="0.25">
      <c r="A13" t="s">
        <v>571</v>
      </c>
      <c r="B13" t="s">
        <v>566</v>
      </c>
      <c r="C13" s="14">
        <v>0</v>
      </c>
      <c r="F13" t="s">
        <v>571</v>
      </c>
      <c r="G13" t="s">
        <v>566</v>
      </c>
      <c r="H13" s="14">
        <v>4000</v>
      </c>
    </row>
    <row r="14" spans="1:10" ht="15.75" thickBot="1" x14ac:dyDescent="0.3">
      <c r="A14" t="s">
        <v>134</v>
      </c>
      <c r="B14" t="s">
        <v>566</v>
      </c>
      <c r="C14" s="14">
        <v>1750</v>
      </c>
      <c r="D14" s="16">
        <f>SUM(C8:C13)</f>
        <v>26060</v>
      </c>
      <c r="E14" t="s">
        <v>572</v>
      </c>
      <c r="F14" t="s">
        <v>134</v>
      </c>
      <c r="G14" t="s">
        <v>566</v>
      </c>
      <c r="H14" s="14">
        <v>2000</v>
      </c>
      <c r="I14" s="16">
        <f>SUM(H8:H13)</f>
        <v>39250</v>
      </c>
      <c r="J14" t="s">
        <v>572</v>
      </c>
    </row>
    <row r="15" spans="1:10" ht="15.75" thickBot="1" x14ac:dyDescent="0.3">
      <c r="A15" t="s">
        <v>573</v>
      </c>
      <c r="C15" s="134">
        <f>SUBTOTAL(109,Tabelle19[Höhe p.A.])</f>
        <v>93250</v>
      </c>
      <c r="F15" t="s">
        <v>573</v>
      </c>
      <c r="H15" s="134">
        <f>SUBTOTAL(109,Tabelle1959[Höhe p.A.])</f>
        <v>106690</v>
      </c>
    </row>
    <row r="18" spans="1:8" ht="15.75" x14ac:dyDescent="0.25">
      <c r="A18" s="7" t="s">
        <v>574</v>
      </c>
      <c r="H18">
        <v>148400</v>
      </c>
    </row>
    <row r="19" spans="1:8" x14ac:dyDescent="0.25">
      <c r="G19" t="s">
        <v>575</v>
      </c>
      <c r="H19">
        <v>-31800</v>
      </c>
    </row>
    <row r="20" spans="1:8" s="41" customFormat="1" x14ac:dyDescent="0.25">
      <c r="A20" s="41" t="s">
        <v>576</v>
      </c>
      <c r="B20" s="41" t="s">
        <v>577</v>
      </c>
      <c r="C20" s="41" t="s">
        <v>578</v>
      </c>
      <c r="D20" s="41" t="s">
        <v>579</v>
      </c>
      <c r="H20" s="41">
        <f>SUM(H18:H19)</f>
        <v>116600</v>
      </c>
    </row>
    <row r="21" spans="1:8" x14ac:dyDescent="0.25">
      <c r="A21" t="s">
        <v>580</v>
      </c>
      <c r="B21" s="14">
        <v>3360</v>
      </c>
      <c r="C21">
        <v>3</v>
      </c>
      <c r="D21" s="14">
        <f>B21*C21</f>
        <v>10080</v>
      </c>
      <c r="H21">
        <f>-Tabelle1959[[#Totals],[Höhe p.A.]]</f>
        <v>-106690</v>
      </c>
    </row>
    <row r="22" spans="1:8" x14ac:dyDescent="0.25">
      <c r="A22" t="s">
        <v>581</v>
      </c>
      <c r="B22" s="14">
        <v>2310</v>
      </c>
      <c r="C22">
        <v>3</v>
      </c>
      <c r="D22" s="14">
        <f>B22*C22</f>
        <v>6930</v>
      </c>
      <c r="H22">
        <f>SUM(H20:H21)</f>
        <v>9910</v>
      </c>
    </row>
    <row r="23" spans="1:8" x14ac:dyDescent="0.25">
      <c r="A23" t="s">
        <v>582</v>
      </c>
      <c r="B23" s="14"/>
      <c r="D23" s="14">
        <v>8000</v>
      </c>
    </row>
    <row r="24" spans="1:8" x14ac:dyDescent="0.25">
      <c r="B24" s="14"/>
      <c r="D24" s="14"/>
    </row>
    <row r="25" spans="1:8" x14ac:dyDescent="0.25">
      <c r="A25" t="s">
        <v>583</v>
      </c>
      <c r="B25" s="14">
        <v>800</v>
      </c>
      <c r="C25">
        <v>3</v>
      </c>
      <c r="D25" s="14">
        <f>B25*C25</f>
        <v>2400</v>
      </c>
    </row>
    <row r="26" spans="1:8" x14ac:dyDescent="0.25">
      <c r="A26" t="s">
        <v>581</v>
      </c>
      <c r="B26" s="14">
        <v>250</v>
      </c>
      <c r="C26">
        <v>3</v>
      </c>
      <c r="D26" s="14">
        <f>B26*C26</f>
        <v>750</v>
      </c>
    </row>
    <row r="27" spans="1:8" x14ac:dyDescent="0.25">
      <c r="A27" t="s">
        <v>584</v>
      </c>
      <c r="B27" s="14">
        <v>800</v>
      </c>
      <c r="C27">
        <v>4</v>
      </c>
      <c r="D27" s="14">
        <f>Tabelle20[[#This Row],[AE]]*Tabelle20[[#This Row],[Anzahl]]</f>
        <v>3200</v>
      </c>
    </row>
    <row r="28" spans="1:8" x14ac:dyDescent="0.25">
      <c r="A28" t="s">
        <v>585</v>
      </c>
      <c r="B28" s="14"/>
      <c r="D28" s="14">
        <v>1000</v>
      </c>
    </row>
    <row r="29" spans="1:8" x14ac:dyDescent="0.25">
      <c r="B29" s="14"/>
      <c r="D29" s="14"/>
    </row>
    <row r="30" spans="1:8" x14ac:dyDescent="0.25">
      <c r="A30" t="s">
        <v>586</v>
      </c>
      <c r="B30" s="14">
        <v>700</v>
      </c>
      <c r="C30">
        <v>3</v>
      </c>
      <c r="D30" s="14">
        <f>B30*C30</f>
        <v>2100</v>
      </c>
    </row>
    <row r="31" spans="1:8" x14ac:dyDescent="0.25">
      <c r="A31" t="s">
        <v>581</v>
      </c>
      <c r="B31" s="14">
        <v>300</v>
      </c>
      <c r="C31">
        <v>3</v>
      </c>
      <c r="D31" s="14">
        <f>B31*C31</f>
        <v>900</v>
      </c>
    </row>
    <row r="32" spans="1:8" ht="15.75" thickBot="1" x14ac:dyDescent="0.3">
      <c r="B32" s="14"/>
      <c r="D32" s="14"/>
    </row>
    <row r="33" spans="1:4" ht="15.75" thickBot="1" x14ac:dyDescent="0.3">
      <c r="A33" t="s">
        <v>573</v>
      </c>
      <c r="D33" s="133">
        <f>SUBTOTAL(109,Tabelle20[Gesamt:])</f>
        <v>35360</v>
      </c>
    </row>
  </sheetData>
  <pageMargins left="0.7" right="0.7" top="0.78740157499999996" bottom="0.78740157499999996" header="0.3" footer="0.3"/>
  <pageSetup paperSize="9" orientation="portrait" verticalDpi="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52"/>
  <sheetViews>
    <sheetView topLeftCell="A28" workbookViewId="0">
      <selection activeCell="E40" sqref="E40"/>
    </sheetView>
  </sheetViews>
  <sheetFormatPr baseColWidth="10" defaultColWidth="11.42578125" defaultRowHeight="15" x14ac:dyDescent="0.25"/>
  <cols>
    <col min="1" max="1" width="22.5703125" customWidth="1"/>
    <col min="2" max="2" width="22" customWidth="1"/>
    <col min="3" max="3" width="19" customWidth="1"/>
    <col min="4" max="4" width="26.140625" customWidth="1"/>
    <col min="5" max="5" width="19.42578125" customWidth="1"/>
    <col min="6" max="6" width="21" customWidth="1"/>
    <col min="7" max="7" width="22.5703125" customWidth="1"/>
    <col min="8" max="8" width="22" customWidth="1"/>
    <col min="9" max="9" width="13.7109375" customWidth="1"/>
    <col min="10" max="10" width="21.85546875" customWidth="1"/>
    <col min="11" max="11" width="19.42578125" customWidth="1"/>
  </cols>
  <sheetData>
    <row r="1" spans="1:11" ht="18.75" x14ac:dyDescent="0.3">
      <c r="A1" s="11" t="s">
        <v>587</v>
      </c>
    </row>
    <row r="2" spans="1:11" ht="15.75" thickBot="1" x14ac:dyDescent="0.3"/>
    <row r="3" spans="1:11" ht="31.5" x14ac:dyDescent="0.25">
      <c r="A3" s="329" t="s">
        <v>588</v>
      </c>
      <c r="B3" s="330" t="s">
        <v>589</v>
      </c>
      <c r="C3" s="330" t="s">
        <v>590</v>
      </c>
      <c r="D3" s="330" t="s">
        <v>164</v>
      </c>
      <c r="E3" s="135" t="s">
        <v>591</v>
      </c>
      <c r="G3" s="329" t="s">
        <v>592</v>
      </c>
      <c r="H3" s="330" t="s">
        <v>589</v>
      </c>
      <c r="I3" s="330" t="s">
        <v>590</v>
      </c>
      <c r="J3" s="330" t="s">
        <v>164</v>
      </c>
      <c r="K3" s="135" t="s">
        <v>591</v>
      </c>
    </row>
    <row r="4" spans="1:11" x14ac:dyDescent="0.25">
      <c r="A4" s="46">
        <v>13</v>
      </c>
      <c r="B4" s="323">
        <v>450</v>
      </c>
      <c r="C4" s="323">
        <f>450*0.25</f>
        <v>112.5</v>
      </c>
      <c r="D4" s="323">
        <v>175</v>
      </c>
      <c r="E4" s="136"/>
      <c r="G4" s="46">
        <v>13</v>
      </c>
      <c r="H4" s="323">
        <v>450</v>
      </c>
      <c r="I4" s="323">
        <f>450*0.25</f>
        <v>112.5</v>
      </c>
      <c r="J4" s="323">
        <v>175</v>
      </c>
      <c r="K4" s="136"/>
    </row>
    <row r="5" spans="1:11" ht="15.75" thickBot="1" x14ac:dyDescent="0.3">
      <c r="A5" s="137" t="s">
        <v>593</v>
      </c>
      <c r="B5" s="138">
        <f>450*12*A4</f>
        <v>70200</v>
      </c>
      <c r="C5" s="138">
        <f>C4*12*A4</f>
        <v>17550</v>
      </c>
      <c r="D5" s="138">
        <f>D4*12*A4</f>
        <v>27300</v>
      </c>
      <c r="E5" s="139">
        <v>185</v>
      </c>
      <c r="F5" s="26"/>
      <c r="G5" s="137" t="s">
        <v>593</v>
      </c>
      <c r="H5" s="138">
        <f>450*12*G4</f>
        <v>70200</v>
      </c>
      <c r="I5" s="138">
        <f>I4*12*G4</f>
        <v>17550</v>
      </c>
      <c r="J5" s="138">
        <f>J4*12*G4</f>
        <v>27300</v>
      </c>
      <c r="K5" s="139">
        <v>185</v>
      </c>
    </row>
    <row r="6" spans="1:11" ht="15.75" thickBot="1" x14ac:dyDescent="0.3">
      <c r="A6" s="137" t="s">
        <v>594</v>
      </c>
      <c r="B6" s="235">
        <v>63000</v>
      </c>
      <c r="C6" s="235">
        <v>19000</v>
      </c>
      <c r="D6" s="235">
        <v>25000</v>
      </c>
      <c r="E6" s="236">
        <v>185</v>
      </c>
      <c r="F6" s="28"/>
      <c r="G6" s="137" t="s">
        <v>594</v>
      </c>
      <c r="H6" s="235">
        <v>70000</v>
      </c>
      <c r="I6" s="235">
        <v>18000</v>
      </c>
      <c r="J6" s="235">
        <v>27000</v>
      </c>
      <c r="K6" s="236">
        <v>200</v>
      </c>
    </row>
    <row r="7" spans="1:11" x14ac:dyDescent="0.25">
      <c r="A7" s="140"/>
      <c r="B7" s="141"/>
      <c r="C7" s="141"/>
      <c r="D7" s="141"/>
      <c r="E7" s="141"/>
      <c r="F7" s="28"/>
      <c r="G7" s="28"/>
      <c r="H7" s="28"/>
      <c r="I7" s="28"/>
      <c r="J7" s="27"/>
      <c r="K7" s="29"/>
    </row>
    <row r="8" spans="1:11" x14ac:dyDescent="0.25">
      <c r="F8" s="28"/>
      <c r="G8" s="28"/>
      <c r="H8" s="28"/>
      <c r="I8" s="28"/>
      <c r="J8" s="27"/>
      <c r="K8" s="29"/>
    </row>
    <row r="9" spans="1:11" ht="16.5" x14ac:dyDescent="0.25">
      <c r="A9" s="40" t="s">
        <v>595</v>
      </c>
      <c r="B9" s="41"/>
      <c r="C9" s="41"/>
      <c r="D9" s="41"/>
      <c r="F9" s="28"/>
      <c r="G9" s="28"/>
      <c r="H9" s="28"/>
      <c r="I9" s="28"/>
      <c r="J9" s="27"/>
      <c r="K9" s="29"/>
    </row>
    <row r="10" spans="1:11" ht="15.75" thickBot="1" x14ac:dyDescent="0.3">
      <c r="A10" s="41"/>
      <c r="B10" s="41"/>
      <c r="C10" s="41"/>
      <c r="D10" s="41"/>
      <c r="E10" s="26"/>
      <c r="F10" s="28"/>
      <c r="G10" s="28"/>
      <c r="H10" s="28"/>
      <c r="I10" s="28"/>
      <c r="J10" s="27"/>
      <c r="K10" s="29"/>
    </row>
    <row r="11" spans="1:11" ht="26.25" thickBot="1" x14ac:dyDescent="0.3">
      <c r="A11" s="331" t="s">
        <v>596</v>
      </c>
      <c r="B11" s="332" t="s">
        <v>597</v>
      </c>
      <c r="C11" s="332" t="s">
        <v>598</v>
      </c>
      <c r="D11" s="333" t="s">
        <v>599</v>
      </c>
      <c r="E11" s="28"/>
      <c r="F11" s="28"/>
      <c r="G11" s="28"/>
      <c r="H11" s="28"/>
      <c r="I11" s="28"/>
      <c r="J11" s="27"/>
      <c r="K11" s="29"/>
    </row>
    <row r="12" spans="1:11" x14ac:dyDescent="0.25">
      <c r="A12" s="334" t="s">
        <v>600</v>
      </c>
      <c r="B12" s="335" t="s">
        <v>601</v>
      </c>
      <c r="C12" s="336">
        <v>1</v>
      </c>
      <c r="D12" s="337" t="s">
        <v>602</v>
      </c>
      <c r="E12" s="28"/>
      <c r="F12" s="28"/>
      <c r="G12" s="28"/>
      <c r="H12" s="28"/>
      <c r="I12" s="28"/>
      <c r="J12" s="27"/>
      <c r="K12" s="29"/>
    </row>
    <row r="13" spans="1:11" x14ac:dyDescent="0.25">
      <c r="A13" s="338" t="s">
        <v>603</v>
      </c>
      <c r="B13" s="339" t="s">
        <v>601</v>
      </c>
      <c r="C13" s="340">
        <v>0.60250000000000004</v>
      </c>
      <c r="D13" s="341" t="s">
        <v>604</v>
      </c>
      <c r="E13" s="28"/>
      <c r="F13" s="28"/>
      <c r="G13" s="28"/>
      <c r="H13" s="28"/>
      <c r="I13" s="28"/>
      <c r="J13" s="27"/>
      <c r="K13" s="29"/>
    </row>
    <row r="14" spans="1:11" x14ac:dyDescent="0.25">
      <c r="A14" s="338" t="s">
        <v>605</v>
      </c>
      <c r="B14" s="342" t="s">
        <v>601</v>
      </c>
      <c r="C14" s="42">
        <v>0.60250000000000004</v>
      </c>
      <c r="D14" s="341" t="s">
        <v>604</v>
      </c>
      <c r="E14" s="28"/>
      <c r="F14" s="28"/>
      <c r="G14" s="28"/>
      <c r="H14" s="28"/>
      <c r="I14" s="24"/>
      <c r="J14" s="27"/>
      <c r="K14" s="29"/>
    </row>
    <row r="15" spans="1:11" ht="15.75" thickBot="1" x14ac:dyDescent="0.3">
      <c r="A15" s="343" t="s">
        <v>605</v>
      </c>
      <c r="B15" s="344" t="s">
        <v>601</v>
      </c>
      <c r="C15" s="345">
        <v>0.75309999999999999</v>
      </c>
      <c r="D15" s="346" t="s">
        <v>606</v>
      </c>
      <c r="E15" s="28"/>
    </row>
    <row r="16" spans="1:11" ht="15.75" thickBot="1" x14ac:dyDescent="0.3">
      <c r="A16" s="347"/>
      <c r="B16" s="348" t="s">
        <v>607</v>
      </c>
      <c r="C16" s="349">
        <f>SUM(C12:C15)</f>
        <v>2.9581</v>
      </c>
      <c r="D16" s="350"/>
      <c r="E16" s="28"/>
      <c r="F16" s="28"/>
      <c r="G16" s="28"/>
      <c r="H16" s="28"/>
      <c r="I16" s="27"/>
      <c r="J16" s="29"/>
      <c r="K16" s="25"/>
    </row>
    <row r="17" spans="1:11" x14ac:dyDescent="0.25">
      <c r="A17" s="41"/>
      <c r="B17" s="41"/>
      <c r="C17" s="41"/>
      <c r="D17" s="41"/>
      <c r="E17" s="28"/>
      <c r="F17" s="32"/>
      <c r="G17" s="28"/>
      <c r="H17" s="28"/>
      <c r="I17" s="27"/>
      <c r="J17" s="29"/>
      <c r="K17" s="25"/>
    </row>
    <row r="18" spans="1:11" x14ac:dyDescent="0.25">
      <c r="A18" s="41"/>
      <c r="B18" s="41"/>
      <c r="C18" s="41"/>
      <c r="D18" s="41"/>
      <c r="E18" s="28"/>
      <c r="F18" s="32"/>
      <c r="G18" s="32"/>
      <c r="H18" s="28"/>
      <c r="I18" s="27"/>
      <c r="J18" s="29"/>
    </row>
    <row r="19" spans="1:11" ht="16.5" x14ac:dyDescent="0.25">
      <c r="A19" s="40" t="s">
        <v>608</v>
      </c>
      <c r="B19" s="41"/>
      <c r="C19" s="41"/>
      <c r="D19" s="41"/>
      <c r="F19" s="32"/>
      <c r="G19" s="32"/>
      <c r="H19" s="32"/>
      <c r="I19" s="25"/>
      <c r="J19" s="25"/>
    </row>
    <row r="20" spans="1:11" ht="16.5" x14ac:dyDescent="0.25">
      <c r="A20" s="40"/>
      <c r="B20" s="41"/>
      <c r="C20" s="41"/>
      <c r="D20" s="41"/>
      <c r="F20" s="32"/>
      <c r="G20" s="32"/>
      <c r="H20" s="32"/>
      <c r="I20" s="25"/>
      <c r="J20" s="25"/>
    </row>
    <row r="21" spans="1:11" ht="16.5" x14ac:dyDescent="0.25">
      <c r="A21" s="40" t="s">
        <v>843</v>
      </c>
      <c r="B21" s="41"/>
      <c r="C21" s="41"/>
      <c r="D21" s="41"/>
      <c r="H21" s="32"/>
      <c r="I21" s="25"/>
      <c r="J21" s="25"/>
    </row>
    <row r="22" spans="1:11" ht="15.75" thickBot="1" x14ac:dyDescent="0.3">
      <c r="A22" s="41"/>
      <c r="B22" s="41"/>
      <c r="C22" s="41"/>
      <c r="D22" s="41"/>
      <c r="H22" s="32"/>
      <c r="I22" s="25"/>
      <c r="J22" s="25"/>
    </row>
    <row r="23" spans="1:11" ht="15.75" thickBot="1" x14ac:dyDescent="0.3">
      <c r="A23" s="767" t="s">
        <v>1300</v>
      </c>
      <c r="B23" s="732"/>
      <c r="C23" s="732"/>
      <c r="D23" s="768">
        <v>44835</v>
      </c>
      <c r="E23" s="769">
        <v>44866</v>
      </c>
      <c r="F23" s="770" t="s">
        <v>1301</v>
      </c>
      <c r="G23" s="771" t="s">
        <v>1302</v>
      </c>
      <c r="H23" s="32"/>
      <c r="I23" s="25"/>
      <c r="J23" s="25"/>
    </row>
    <row r="24" spans="1:11" x14ac:dyDescent="0.25">
      <c r="A24" s="772" t="s">
        <v>601</v>
      </c>
      <c r="B24" s="773" t="s">
        <v>1303</v>
      </c>
      <c r="C24" s="774" t="s">
        <v>1304</v>
      </c>
      <c r="D24" s="775">
        <v>3826.89</v>
      </c>
      <c r="E24" s="776">
        <v>5944.17</v>
      </c>
      <c r="F24" s="777">
        <v>3934.5239999999999</v>
      </c>
      <c r="G24" s="778">
        <f>D24+E24+F24</f>
        <v>13705.583999999999</v>
      </c>
      <c r="H24" s="25"/>
      <c r="I24" s="25"/>
      <c r="J24" s="25"/>
    </row>
    <row r="25" spans="1:11" x14ac:dyDescent="0.25">
      <c r="A25" s="772" t="s">
        <v>601</v>
      </c>
      <c r="B25" s="774" t="s">
        <v>1305</v>
      </c>
      <c r="C25" s="773" t="s">
        <v>1306</v>
      </c>
      <c r="D25" s="775">
        <v>4749.84</v>
      </c>
      <c r="E25" s="779">
        <v>8410.02</v>
      </c>
      <c r="F25" s="780">
        <v>4883.29</v>
      </c>
      <c r="G25" s="779">
        <f>D25+E25+F25</f>
        <v>18043.150000000001</v>
      </c>
      <c r="H25" s="25"/>
      <c r="I25" s="25"/>
      <c r="J25" s="25"/>
    </row>
    <row r="26" spans="1:11" x14ac:dyDescent="0.25">
      <c r="A26" s="772" t="s">
        <v>601</v>
      </c>
      <c r="B26" s="773" t="s">
        <v>1307</v>
      </c>
      <c r="C26" s="773" t="s">
        <v>1308</v>
      </c>
      <c r="D26" s="775">
        <v>4761.57</v>
      </c>
      <c r="E26" s="779">
        <v>8256.76</v>
      </c>
      <c r="F26" s="780">
        <v>4894.5200000000004</v>
      </c>
      <c r="G26" s="779">
        <f>D26+E26+F26</f>
        <v>17912.849999999999</v>
      </c>
      <c r="H26" s="25"/>
      <c r="I26" s="25"/>
      <c r="J26" s="25"/>
    </row>
    <row r="27" spans="1:11" x14ac:dyDescent="0.25">
      <c r="A27" s="781" t="s">
        <v>601</v>
      </c>
      <c r="B27" s="782" t="s">
        <v>1309</v>
      </c>
      <c r="C27" s="782" t="s">
        <v>1308</v>
      </c>
      <c r="D27" s="775">
        <v>3202.05</v>
      </c>
      <c r="E27" s="779">
        <v>3653.32</v>
      </c>
      <c r="F27" s="780">
        <v>3292.24</v>
      </c>
      <c r="G27" s="779">
        <f>D27+E27+F27</f>
        <v>10147.61</v>
      </c>
      <c r="H27" s="25"/>
      <c r="I27" s="25"/>
      <c r="J27" s="25"/>
    </row>
    <row r="28" spans="1:11" ht="15.75" thickBot="1" x14ac:dyDescent="0.3">
      <c r="A28" s="783" t="s">
        <v>615</v>
      </c>
      <c r="B28" s="784"/>
      <c r="C28" s="784"/>
      <c r="D28" s="785">
        <f>SUM(D24:D27)</f>
        <v>16540.349999999999</v>
      </c>
      <c r="E28" s="786">
        <f>SUM(E24:E27)</f>
        <v>26264.27</v>
      </c>
      <c r="F28" s="787">
        <f>SUM(F24:F27)</f>
        <v>17004.574000000001</v>
      </c>
      <c r="G28" s="786">
        <f>SUM(G24:G27)</f>
        <v>59809.194000000003</v>
      </c>
      <c r="H28" s="25"/>
      <c r="I28" s="33"/>
      <c r="J28" s="25"/>
    </row>
    <row r="29" spans="1:11" ht="15.75" thickBot="1" x14ac:dyDescent="0.3">
      <c r="A29" s="788" t="s">
        <v>1310</v>
      </c>
      <c r="B29" s="789"/>
      <c r="C29" s="789"/>
      <c r="D29" s="790">
        <f>D28+E28+F28</f>
        <v>59809.193999999996</v>
      </c>
      <c r="E29" s="791"/>
      <c r="F29" s="791"/>
      <c r="H29" s="25"/>
      <c r="I29" s="33"/>
      <c r="J29" s="25"/>
    </row>
    <row r="30" spans="1:11" ht="15.75" thickBot="1" x14ac:dyDescent="0.3">
      <c r="D30" s="791"/>
      <c r="E30" s="791"/>
      <c r="F30" s="791"/>
    </row>
    <row r="31" spans="1:11" x14ac:dyDescent="0.25">
      <c r="A31" s="767" t="s">
        <v>1311</v>
      </c>
      <c r="B31" s="732"/>
      <c r="C31" s="732"/>
      <c r="D31" s="792" t="s">
        <v>1312</v>
      </c>
      <c r="E31" s="793" t="s">
        <v>1313</v>
      </c>
      <c r="F31" s="794"/>
    </row>
    <row r="32" spans="1:11" x14ac:dyDescent="0.25">
      <c r="A32" s="772" t="s">
        <v>601</v>
      </c>
      <c r="B32" s="773" t="s">
        <v>1303</v>
      </c>
      <c r="C32" s="773" t="s">
        <v>1304</v>
      </c>
      <c r="D32" s="775">
        <f>9*F24</f>
        <v>35410.716</v>
      </c>
      <c r="E32" s="795" t="s">
        <v>1314</v>
      </c>
      <c r="F32" s="14"/>
    </row>
    <row r="33" spans="1:7" x14ac:dyDescent="0.25">
      <c r="A33" s="772" t="s">
        <v>601</v>
      </c>
      <c r="B33" s="773" t="s">
        <v>1305</v>
      </c>
      <c r="C33" s="773" t="s">
        <v>1306</v>
      </c>
      <c r="D33" s="775">
        <f>9*F25</f>
        <v>43949.61</v>
      </c>
      <c r="E33" s="793" t="s">
        <v>1315</v>
      </c>
      <c r="F33" s="14"/>
    </row>
    <row r="34" spans="1:7" x14ac:dyDescent="0.25">
      <c r="A34" s="772" t="s">
        <v>601</v>
      </c>
      <c r="B34" s="773" t="s">
        <v>1307</v>
      </c>
      <c r="C34" s="773" t="s">
        <v>1308</v>
      </c>
      <c r="D34" s="775">
        <f>9*F26</f>
        <v>44050.680000000008</v>
      </c>
      <c r="F34" s="14"/>
    </row>
    <row r="35" spans="1:7" x14ac:dyDescent="0.25">
      <c r="A35" s="772" t="s">
        <v>601</v>
      </c>
      <c r="B35" s="773" t="s">
        <v>1309</v>
      </c>
      <c r="C35" s="773" t="s">
        <v>1308</v>
      </c>
      <c r="D35" s="775">
        <f>9*F27</f>
        <v>29630.159999999996</v>
      </c>
      <c r="F35" s="14"/>
    </row>
    <row r="36" spans="1:7" ht="15.75" thickBot="1" x14ac:dyDescent="0.3">
      <c r="A36" s="783" t="s">
        <v>615</v>
      </c>
      <c r="B36" s="784"/>
      <c r="C36" s="784"/>
      <c r="D36" s="785">
        <f>SUM(D32:D35)</f>
        <v>153041.166</v>
      </c>
      <c r="F36" s="791"/>
    </row>
    <row r="37" spans="1:7" x14ac:dyDescent="0.25">
      <c r="A37" s="731"/>
      <c r="B37" s="732"/>
      <c r="C37" s="796"/>
      <c r="D37" s="797"/>
      <c r="F37" s="791"/>
    </row>
    <row r="38" spans="1:7" ht="15.75" thickBot="1" x14ac:dyDescent="0.3">
      <c r="A38" s="798" t="s">
        <v>1316</v>
      </c>
      <c r="B38" s="730"/>
      <c r="C38" s="799"/>
      <c r="D38" s="800">
        <f>D29+D36</f>
        <v>212850.36</v>
      </c>
      <c r="F38" s="791"/>
    </row>
    <row r="39" spans="1:7" x14ac:dyDescent="0.25">
      <c r="D39" s="791"/>
      <c r="E39" s="791"/>
      <c r="F39" s="791"/>
    </row>
    <row r="40" spans="1:7" x14ac:dyDescent="0.25">
      <c r="A40" t="s">
        <v>591</v>
      </c>
      <c r="D40" s="791">
        <v>457.09</v>
      </c>
      <c r="E40" s="791"/>
      <c r="F40" s="791"/>
    </row>
    <row r="41" spans="1:7" x14ac:dyDescent="0.25">
      <c r="D41" s="791"/>
      <c r="E41" s="791"/>
      <c r="F41" s="791"/>
    </row>
    <row r="42" spans="1:7" ht="15.75" thickBot="1" x14ac:dyDescent="0.3">
      <c r="A42" s="6" t="s">
        <v>630</v>
      </c>
      <c r="B42" s="6"/>
      <c r="C42" s="6"/>
      <c r="D42" s="801">
        <f>D38+D40</f>
        <v>213307.44999999998</v>
      </c>
    </row>
    <row r="43" spans="1:7" ht="17.25" thickTop="1" x14ac:dyDescent="0.25">
      <c r="A43" s="40"/>
      <c r="B43" s="41"/>
      <c r="C43" s="41"/>
      <c r="D43" s="41"/>
      <c r="F43" s="32"/>
      <c r="G43" s="32"/>
    </row>
    <row r="44" spans="1:7" ht="15.75" thickBot="1" x14ac:dyDescent="0.3">
      <c r="A44" s="25"/>
      <c r="B44" s="25"/>
      <c r="C44" s="30"/>
      <c r="D44" s="31"/>
      <c r="E44" s="25"/>
    </row>
    <row r="45" spans="1:7" x14ac:dyDescent="0.25">
      <c r="A45" s="351" t="s">
        <v>2</v>
      </c>
      <c r="B45" s="352"/>
      <c r="C45" s="352"/>
      <c r="D45" s="802" t="s">
        <v>554</v>
      </c>
      <c r="E45" s="353" t="s">
        <v>553</v>
      </c>
      <c r="F45" s="25"/>
    </row>
    <row r="46" spans="1:7" x14ac:dyDescent="0.25">
      <c r="A46" s="46" t="s">
        <v>609</v>
      </c>
      <c r="B46" s="354" t="s">
        <v>610</v>
      </c>
      <c r="C46" s="354"/>
      <c r="D46" s="43">
        <v>102000</v>
      </c>
      <c r="E46" s="43">
        <v>92500</v>
      </c>
      <c r="F46" s="25"/>
    </row>
    <row r="47" spans="1:7" x14ac:dyDescent="0.25">
      <c r="A47" s="46" t="s">
        <v>173</v>
      </c>
      <c r="B47" s="354" t="s">
        <v>611</v>
      </c>
      <c r="C47" s="354"/>
      <c r="D47" s="44">
        <v>28000</v>
      </c>
      <c r="E47" s="44">
        <v>26000</v>
      </c>
    </row>
    <row r="48" spans="1:7" x14ac:dyDescent="0.25">
      <c r="A48" s="46" t="s">
        <v>612</v>
      </c>
      <c r="B48" s="354" t="s">
        <v>613</v>
      </c>
      <c r="C48" s="354"/>
      <c r="D48" s="44">
        <v>75000</v>
      </c>
      <c r="E48" s="44">
        <v>73000</v>
      </c>
    </row>
    <row r="49" spans="1:5" ht="15.75" thickBot="1" x14ac:dyDescent="0.3">
      <c r="A49" s="355" t="s">
        <v>179</v>
      </c>
      <c r="B49" s="356" t="s">
        <v>614</v>
      </c>
      <c r="C49" s="356"/>
      <c r="D49" s="357">
        <v>15000</v>
      </c>
      <c r="E49" s="357">
        <v>14500</v>
      </c>
    </row>
    <row r="50" spans="1:5" ht="15.75" thickBot="1" x14ac:dyDescent="0.3">
      <c r="A50" s="270" t="s">
        <v>1318</v>
      </c>
      <c r="B50" s="271"/>
      <c r="C50" s="271"/>
      <c r="D50" s="45">
        <f>SUM(D46:D49)</f>
        <v>220000</v>
      </c>
      <c r="E50" s="45">
        <f>SUM(E46:E49)</f>
        <v>206000</v>
      </c>
    </row>
    <row r="51" spans="1:5" x14ac:dyDescent="0.25">
      <c r="A51" s="25"/>
      <c r="B51" s="25"/>
      <c r="C51" s="30"/>
    </row>
    <row r="52" spans="1:5" ht="75" x14ac:dyDescent="0.25">
      <c r="A52" s="25"/>
      <c r="B52" s="25"/>
      <c r="C52" s="30"/>
      <c r="D52" s="803" t="s">
        <v>1317</v>
      </c>
    </row>
  </sheetData>
  <hyperlinks>
    <hyperlink ref="B6" location="AStA_Referate" display="AStA_Referate"/>
    <hyperlink ref="C6" location="Bundesknappschaft" display="Bundesknappschaft"/>
    <hyperlink ref="D6" location="AStA_SKP" display="AStA_SKP"/>
    <hyperlink ref="E6" location="AStA_VBG" display="AStA_VBG"/>
    <hyperlink ref="H6" location="AStA_Referate" display="AStA_Referate"/>
    <hyperlink ref="I6" location="Bundesknappschaft" display="Bundesknappschaft"/>
    <hyperlink ref="J6" location="AStA_SKP" display="AStA_SKP"/>
    <hyperlink ref="K6" location="AStA_VBG" display="AStA_VBG"/>
  </hyperlink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E24"/>
  <sheetViews>
    <sheetView workbookViewId="0">
      <selection activeCell="D23" sqref="D23"/>
    </sheetView>
  </sheetViews>
  <sheetFormatPr baseColWidth="10" defaultColWidth="11.42578125" defaultRowHeight="15" x14ac:dyDescent="0.25"/>
  <cols>
    <col min="1" max="1" width="12.85546875" style="238" customWidth="1"/>
    <col min="2" max="2" width="24.85546875" style="259" customWidth="1"/>
    <col min="3" max="3" width="23.140625" style="238" customWidth="1"/>
    <col min="4" max="4" width="17.140625" style="260" customWidth="1"/>
    <col min="5" max="5" width="15.85546875" style="238" customWidth="1"/>
  </cols>
  <sheetData>
    <row r="1" spans="1:5" ht="18.75" x14ac:dyDescent="0.3">
      <c r="A1" s="241" t="s">
        <v>616</v>
      </c>
    </row>
    <row r="3" spans="1:5" ht="15.75" x14ac:dyDescent="0.25">
      <c r="A3" s="261" t="s">
        <v>617</v>
      </c>
    </row>
    <row r="5" spans="1:5" x14ac:dyDescent="0.25">
      <c r="A5" s="243" t="s">
        <v>618</v>
      </c>
      <c r="B5" s="262" t="s">
        <v>619</v>
      </c>
      <c r="C5" s="244" t="s">
        <v>620</v>
      </c>
      <c r="D5" s="263" t="s">
        <v>621</v>
      </c>
      <c r="E5" s="239" t="s">
        <v>622</v>
      </c>
    </row>
    <row r="6" spans="1:5" x14ac:dyDescent="0.25">
      <c r="A6" s="358">
        <v>1</v>
      </c>
      <c r="B6" s="264" t="s">
        <v>623</v>
      </c>
      <c r="C6" s="247" t="s">
        <v>624</v>
      </c>
      <c r="D6" s="265">
        <v>150</v>
      </c>
      <c r="E6" s="359"/>
    </row>
    <row r="7" spans="1:5" x14ac:dyDescent="0.25">
      <c r="A7" s="358">
        <v>2</v>
      </c>
      <c r="B7" s="264" t="s">
        <v>625</v>
      </c>
      <c r="C7" s="247" t="s">
        <v>626</v>
      </c>
      <c r="D7" s="265">
        <v>600</v>
      </c>
      <c r="E7" s="359"/>
    </row>
    <row r="8" spans="1:5" x14ac:dyDescent="0.25">
      <c r="A8" s="358">
        <v>3</v>
      </c>
      <c r="B8" s="264" t="s">
        <v>627</v>
      </c>
      <c r="C8" s="247" t="s">
        <v>628</v>
      </c>
      <c r="D8" s="265">
        <v>4200</v>
      </c>
      <c r="E8" s="359"/>
    </row>
    <row r="9" spans="1:5" x14ac:dyDescent="0.25">
      <c r="A9" s="358">
        <v>4</v>
      </c>
      <c r="B9" s="264"/>
      <c r="C9" s="247"/>
      <c r="D9" s="265">
        <v>0</v>
      </c>
      <c r="E9" s="359"/>
    </row>
    <row r="10" spans="1:5" x14ac:dyDescent="0.25">
      <c r="A10" s="358">
        <v>5</v>
      </c>
      <c r="B10" s="264"/>
      <c r="C10" s="247"/>
      <c r="D10" s="265">
        <v>0</v>
      </c>
      <c r="E10" s="359"/>
    </row>
    <row r="11" spans="1:5" x14ac:dyDescent="0.25">
      <c r="A11" s="358">
        <v>6</v>
      </c>
      <c r="B11" s="264" t="s">
        <v>629</v>
      </c>
      <c r="C11" s="247"/>
      <c r="D11" s="265">
        <v>3000</v>
      </c>
      <c r="E11" s="359"/>
    </row>
    <row r="12" spans="1:5" x14ac:dyDescent="0.25">
      <c r="A12" s="245" t="s">
        <v>630</v>
      </c>
      <c r="B12" s="266"/>
      <c r="C12" s="267"/>
      <c r="D12" s="268">
        <f>SUBTOTAL(109,Tabelle16[Beträge/Budget])</f>
        <v>7950</v>
      </c>
      <c r="E12" s="246"/>
    </row>
    <row r="15" spans="1:5" ht="15.75" x14ac:dyDescent="0.25">
      <c r="A15" s="261" t="s">
        <v>631</v>
      </c>
    </row>
    <row r="17" spans="1:5" x14ac:dyDescent="0.25">
      <c r="A17" s="243" t="s">
        <v>632</v>
      </c>
      <c r="B17" s="262" t="s">
        <v>633</v>
      </c>
      <c r="C17" s="244" t="s">
        <v>634</v>
      </c>
      <c r="D17" s="263" t="s">
        <v>621</v>
      </c>
      <c r="E17" s="239" t="s">
        <v>622</v>
      </c>
    </row>
    <row r="18" spans="1:5" x14ac:dyDescent="0.25">
      <c r="A18" s="358">
        <v>1</v>
      </c>
      <c r="B18" s="264" t="s">
        <v>635</v>
      </c>
      <c r="C18" s="247" t="s">
        <v>628</v>
      </c>
      <c r="D18" s="265">
        <v>1000</v>
      </c>
      <c r="E18" s="359"/>
    </row>
    <row r="19" spans="1:5" x14ac:dyDescent="0.25">
      <c r="A19" s="358">
        <v>2</v>
      </c>
      <c r="B19" s="264" t="s">
        <v>636</v>
      </c>
      <c r="C19" s="247" t="s">
        <v>628</v>
      </c>
      <c r="D19" s="265">
        <v>360</v>
      </c>
      <c r="E19" s="359"/>
    </row>
    <row r="20" spans="1:5" ht="30" x14ac:dyDescent="0.25">
      <c r="A20" s="358">
        <v>3</v>
      </c>
      <c r="B20" s="264" t="s">
        <v>637</v>
      </c>
      <c r="C20" s="247" t="s">
        <v>638</v>
      </c>
      <c r="D20" s="265">
        <v>1000</v>
      </c>
      <c r="E20" s="359"/>
    </row>
    <row r="21" spans="1:5" x14ac:dyDescent="0.25">
      <c r="A21" s="358">
        <v>4</v>
      </c>
      <c r="B21" s="264" t="s">
        <v>639</v>
      </c>
      <c r="C21" s="247" t="s">
        <v>640</v>
      </c>
      <c r="D21" s="265">
        <v>440</v>
      </c>
      <c r="E21" s="359"/>
    </row>
    <row r="22" spans="1:5" x14ac:dyDescent="0.25">
      <c r="A22" s="358">
        <v>5</v>
      </c>
      <c r="B22" s="264" t="s">
        <v>641</v>
      </c>
      <c r="C22" s="247" t="s">
        <v>642</v>
      </c>
      <c r="D22" s="265">
        <v>280</v>
      </c>
      <c r="E22" s="359"/>
    </row>
    <row r="23" spans="1:5" x14ac:dyDescent="0.25">
      <c r="A23" s="358">
        <v>6</v>
      </c>
      <c r="B23" s="264" t="s">
        <v>643</v>
      </c>
      <c r="C23" s="247"/>
      <c r="D23" s="265">
        <v>1000</v>
      </c>
      <c r="E23" s="359"/>
    </row>
    <row r="24" spans="1:5" x14ac:dyDescent="0.25">
      <c r="A24" s="245" t="s">
        <v>630</v>
      </c>
      <c r="B24" s="266"/>
      <c r="C24" s="267"/>
      <c r="D24" s="268">
        <f>SUBTOTAL(109,Tabelle17[Beträge/Budget])</f>
        <v>4080</v>
      </c>
      <c r="E24" s="246"/>
    </row>
  </sheetData>
  <pageMargins left="0.7" right="0.7" top="0.78740157499999996" bottom="0.78740157499999996" header="0.3" footer="0.3"/>
  <pageSetup paperSize="9" orientation="portrait" verticalDpi="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38"/>
  <sheetViews>
    <sheetView workbookViewId="0">
      <selection activeCell="D36" sqref="D36"/>
    </sheetView>
  </sheetViews>
  <sheetFormatPr baseColWidth="10" defaultColWidth="11.42578125" defaultRowHeight="15" outlineLevelRow="1" x14ac:dyDescent="0.25"/>
  <cols>
    <col min="3" max="3" width="28.5703125" style="238" customWidth="1"/>
    <col min="4" max="4" width="27.7109375" style="238" customWidth="1"/>
    <col min="6" max="6" width="11.42578125" customWidth="1"/>
    <col min="8" max="8" width="28.5703125" style="238" customWidth="1"/>
    <col min="9" max="9" width="27.7109375" style="238" customWidth="1"/>
  </cols>
  <sheetData>
    <row r="1" spans="1:9" ht="15.75" x14ac:dyDescent="0.25">
      <c r="A1" s="7" t="s">
        <v>644</v>
      </c>
      <c r="F1" s="7" t="s">
        <v>645</v>
      </c>
    </row>
    <row r="3" spans="1:9" x14ac:dyDescent="0.25">
      <c r="A3" s="6" t="s">
        <v>646</v>
      </c>
      <c r="F3" s="6" t="s">
        <v>646</v>
      </c>
    </row>
    <row r="4" spans="1:9" x14ac:dyDescent="0.25">
      <c r="A4" s="49" t="s">
        <v>12</v>
      </c>
      <c r="B4" s="50" t="s">
        <v>647</v>
      </c>
      <c r="C4" s="244" t="s">
        <v>648</v>
      </c>
      <c r="D4" s="239" t="s">
        <v>649</v>
      </c>
      <c r="F4" s="49" t="s">
        <v>12</v>
      </c>
      <c r="G4" s="50" t="s">
        <v>647</v>
      </c>
      <c r="H4" s="244" t="s">
        <v>648</v>
      </c>
      <c r="I4" s="239" t="s">
        <v>649</v>
      </c>
    </row>
    <row r="5" spans="1:9" ht="30" outlineLevel="1" x14ac:dyDescent="0.25">
      <c r="A5" s="360">
        <v>1</v>
      </c>
      <c r="B5" s="323">
        <v>1500</v>
      </c>
      <c r="C5" s="264" t="s">
        <v>650</v>
      </c>
      <c r="D5" s="361" t="s">
        <v>651</v>
      </c>
      <c r="F5" s="360">
        <v>1</v>
      </c>
      <c r="G5" s="323">
        <v>0</v>
      </c>
      <c r="H5" s="264"/>
      <c r="I5" s="361"/>
    </row>
    <row r="6" spans="1:9" outlineLevel="1" x14ac:dyDescent="0.25">
      <c r="A6" s="360">
        <v>2</v>
      </c>
      <c r="B6" s="323">
        <v>4500</v>
      </c>
      <c r="C6" s="264" t="s">
        <v>652</v>
      </c>
      <c r="D6" s="361" t="s">
        <v>653</v>
      </c>
      <c r="F6" s="360">
        <v>2</v>
      </c>
      <c r="G6" s="323">
        <v>0</v>
      </c>
      <c r="H6" s="264"/>
      <c r="I6" s="361"/>
    </row>
    <row r="7" spans="1:9" outlineLevel="1" x14ac:dyDescent="0.25">
      <c r="A7" s="51"/>
      <c r="B7" s="323"/>
      <c r="C7" s="264"/>
      <c r="D7" s="361"/>
      <c r="F7" s="51"/>
      <c r="G7" s="323"/>
      <c r="H7" s="264"/>
      <c r="I7" s="361"/>
    </row>
    <row r="8" spans="1:9" outlineLevel="1" x14ac:dyDescent="0.25">
      <c r="A8" s="51"/>
      <c r="B8" s="323"/>
      <c r="C8" s="264"/>
      <c r="D8" s="361"/>
      <c r="F8" s="51"/>
      <c r="G8" s="323"/>
      <c r="H8" s="264"/>
      <c r="I8" s="361"/>
    </row>
    <row r="9" spans="1:9" outlineLevel="1" x14ac:dyDescent="0.25">
      <c r="A9" s="51" t="s">
        <v>654</v>
      </c>
      <c r="B9" s="323">
        <v>1000</v>
      </c>
      <c r="C9" s="264"/>
      <c r="D9" s="361"/>
      <c r="F9" s="51" t="s">
        <v>654</v>
      </c>
      <c r="G9" s="323">
        <v>700</v>
      </c>
      <c r="H9" s="264"/>
      <c r="I9" s="361"/>
    </row>
    <row r="10" spans="1:9" x14ac:dyDescent="0.25">
      <c r="A10" s="148" t="s">
        <v>630</v>
      </c>
      <c r="B10" s="324">
        <f>SUBTOTAL(109,Tabelle2853[Betrag])</f>
        <v>7000</v>
      </c>
      <c r="C10" s="267"/>
      <c r="D10" s="246">
        <f>SUBTOTAL(103,Tabelle2853[Begründung])</f>
        <v>2</v>
      </c>
      <c r="F10" s="148" t="s">
        <v>630</v>
      </c>
      <c r="G10" s="324">
        <f>SUBTOTAL(109,Tabelle28[Betrag])</f>
        <v>700</v>
      </c>
      <c r="H10" s="267"/>
      <c r="I10" s="246">
        <f>SUBTOTAL(103,Tabelle28[Begründung])</f>
        <v>0</v>
      </c>
    </row>
    <row r="12" spans="1:9" x14ac:dyDescent="0.25">
      <c r="A12" s="6" t="s">
        <v>231</v>
      </c>
      <c r="F12" s="6" t="s">
        <v>655</v>
      </c>
    </row>
    <row r="13" spans="1:9" outlineLevel="1" x14ac:dyDescent="0.25">
      <c r="A13" s="49" t="s">
        <v>12</v>
      </c>
      <c r="B13" s="50" t="s">
        <v>647</v>
      </c>
      <c r="C13" s="244" t="s">
        <v>648</v>
      </c>
      <c r="D13" s="239" t="s">
        <v>649</v>
      </c>
      <c r="F13" s="49" t="s">
        <v>12</v>
      </c>
      <c r="G13" s="50" t="s">
        <v>647</v>
      </c>
      <c r="H13" s="244" t="s">
        <v>648</v>
      </c>
      <c r="I13" s="239" t="s">
        <v>649</v>
      </c>
    </row>
    <row r="14" spans="1:9" ht="30" outlineLevel="1" x14ac:dyDescent="0.25">
      <c r="A14" s="360">
        <v>1</v>
      </c>
      <c r="B14" s="323">
        <v>2500</v>
      </c>
      <c r="C14" s="264" t="s">
        <v>656</v>
      </c>
      <c r="D14" s="361" t="s">
        <v>657</v>
      </c>
      <c r="F14" s="360">
        <v>1</v>
      </c>
      <c r="G14" s="323">
        <v>0</v>
      </c>
      <c r="H14" s="264"/>
      <c r="I14" s="361"/>
    </row>
    <row r="15" spans="1:9" ht="30" outlineLevel="1" x14ac:dyDescent="0.25">
      <c r="A15" s="360">
        <v>2</v>
      </c>
      <c r="B15" s="323">
        <v>2500</v>
      </c>
      <c r="C15" s="264" t="s">
        <v>658</v>
      </c>
      <c r="D15" s="361" t="s">
        <v>657</v>
      </c>
      <c r="F15" s="360">
        <v>2</v>
      </c>
      <c r="G15" s="323">
        <v>0</v>
      </c>
      <c r="H15" s="264"/>
      <c r="I15" s="361"/>
    </row>
    <row r="16" spans="1:9" outlineLevel="1" x14ac:dyDescent="0.25">
      <c r="A16" s="51"/>
      <c r="B16" s="323"/>
      <c r="C16" s="264"/>
      <c r="D16" s="361"/>
      <c r="F16" s="51"/>
      <c r="G16" s="323"/>
      <c r="H16" s="264"/>
      <c r="I16" s="361"/>
    </row>
    <row r="17" spans="1:9" outlineLevel="1" x14ac:dyDescent="0.25">
      <c r="A17" s="51"/>
      <c r="B17" s="323"/>
      <c r="C17" s="264"/>
      <c r="D17" s="361"/>
      <c r="F17" s="51"/>
      <c r="G17" s="323"/>
      <c r="H17" s="264"/>
      <c r="I17" s="361"/>
    </row>
    <row r="18" spans="1:9" outlineLevel="1" x14ac:dyDescent="0.25">
      <c r="A18" s="51" t="s">
        <v>654</v>
      </c>
      <c r="B18" s="323">
        <v>500</v>
      </c>
      <c r="C18" s="264"/>
      <c r="D18" s="361"/>
      <c r="F18" s="51" t="s">
        <v>654</v>
      </c>
      <c r="G18" s="323">
        <v>500</v>
      </c>
      <c r="H18" s="264"/>
      <c r="I18" s="361"/>
    </row>
    <row r="19" spans="1:9" x14ac:dyDescent="0.25">
      <c r="A19" s="148" t="s">
        <v>630</v>
      </c>
      <c r="B19" s="324">
        <f>SUBTOTAL(109,Tabelle252[Betrag])</f>
        <v>5500</v>
      </c>
      <c r="C19" s="267"/>
      <c r="D19" s="246">
        <f>SUBTOTAL(103,Tabelle252[Begründung])</f>
        <v>2</v>
      </c>
      <c r="F19" s="148" t="s">
        <v>630</v>
      </c>
      <c r="G19" s="324">
        <f>SUBTOTAL(109,Tabelle2[Betrag])</f>
        <v>500</v>
      </c>
      <c r="H19" s="267"/>
      <c r="I19" s="246">
        <f>SUBTOTAL(103,Tabelle2[Begründung])</f>
        <v>0</v>
      </c>
    </row>
    <row r="21" spans="1:9" x14ac:dyDescent="0.25">
      <c r="A21" s="6" t="s">
        <v>234</v>
      </c>
      <c r="F21" s="6" t="s">
        <v>234</v>
      </c>
    </row>
    <row r="22" spans="1:9" x14ac:dyDescent="0.25">
      <c r="A22" s="49" t="s">
        <v>12</v>
      </c>
      <c r="B22" s="50" t="s">
        <v>647</v>
      </c>
      <c r="C22" s="244" t="s">
        <v>648</v>
      </c>
      <c r="D22" s="239" t="s">
        <v>649</v>
      </c>
      <c r="F22" s="49" t="s">
        <v>12</v>
      </c>
      <c r="G22" s="50" t="s">
        <v>647</v>
      </c>
      <c r="H22" s="244" t="s">
        <v>648</v>
      </c>
      <c r="I22" s="239" t="s">
        <v>649</v>
      </c>
    </row>
    <row r="23" spans="1:9" ht="30" outlineLevel="1" x14ac:dyDescent="0.25">
      <c r="A23" s="360">
        <v>1</v>
      </c>
      <c r="B23" s="323">
        <v>500</v>
      </c>
      <c r="C23" s="264" t="s">
        <v>659</v>
      </c>
      <c r="D23" s="361" t="s">
        <v>1364</v>
      </c>
      <c r="F23" s="360">
        <v>1</v>
      </c>
      <c r="G23" s="323">
        <v>500</v>
      </c>
      <c r="H23" s="264" t="s">
        <v>659</v>
      </c>
      <c r="I23" s="361"/>
    </row>
    <row r="24" spans="1:9" outlineLevel="1" x14ac:dyDescent="0.25">
      <c r="A24" s="360">
        <v>2</v>
      </c>
      <c r="B24" s="323"/>
      <c r="C24" s="264"/>
      <c r="D24" s="361"/>
      <c r="F24" s="360">
        <v>2</v>
      </c>
      <c r="G24" s="323">
        <v>0</v>
      </c>
      <c r="H24" s="264"/>
      <c r="I24" s="361"/>
    </row>
    <row r="25" spans="1:9" outlineLevel="1" x14ac:dyDescent="0.25">
      <c r="A25" s="51"/>
      <c r="B25" s="323"/>
      <c r="C25" s="264"/>
      <c r="D25" s="361"/>
      <c r="F25" s="51"/>
      <c r="G25" s="323"/>
      <c r="H25" s="264"/>
      <c r="I25" s="361"/>
    </row>
    <row r="26" spans="1:9" outlineLevel="1" x14ac:dyDescent="0.25">
      <c r="A26" s="51"/>
      <c r="B26" s="323"/>
      <c r="C26" s="264"/>
      <c r="D26" s="361"/>
      <c r="F26" s="51"/>
      <c r="G26" s="323"/>
      <c r="H26" s="264"/>
      <c r="I26" s="361"/>
    </row>
    <row r="27" spans="1:9" outlineLevel="1" x14ac:dyDescent="0.25">
      <c r="A27" s="51" t="s">
        <v>654</v>
      </c>
      <c r="B27" s="323">
        <v>0</v>
      </c>
      <c r="C27" s="264"/>
      <c r="D27" s="361"/>
      <c r="F27" s="51" t="s">
        <v>654</v>
      </c>
      <c r="G27" s="323">
        <v>0</v>
      </c>
      <c r="H27" s="264"/>
      <c r="I27" s="361"/>
    </row>
    <row r="28" spans="1:9" x14ac:dyDescent="0.25">
      <c r="A28" s="148" t="s">
        <v>630</v>
      </c>
      <c r="B28" s="324">
        <f>SUBTOTAL(109,Tabelle211121656[Betrag])</f>
        <v>500</v>
      </c>
      <c r="C28" s="267"/>
      <c r="D28" s="246">
        <f>SUBTOTAL(103,Tabelle211121656[Begründung])</f>
        <v>1</v>
      </c>
      <c r="F28" s="148" t="s">
        <v>630</v>
      </c>
      <c r="G28" s="324">
        <f>SUBTOTAL(109,Tabelle2111216[Betrag])</f>
        <v>500</v>
      </c>
      <c r="H28" s="267"/>
      <c r="I28" s="246">
        <f>SUBTOTAL(103,Tabelle2111216[Begründung])</f>
        <v>0</v>
      </c>
    </row>
    <row r="31" spans="1:9" x14ac:dyDescent="0.25">
      <c r="A31" s="6" t="s">
        <v>660</v>
      </c>
      <c r="F31" s="6" t="s">
        <v>660</v>
      </c>
    </row>
    <row r="32" spans="1:9" x14ac:dyDescent="0.25">
      <c r="A32" s="49" t="s">
        <v>12</v>
      </c>
      <c r="B32" s="50" t="s">
        <v>647</v>
      </c>
      <c r="C32" s="244" t="s">
        <v>648</v>
      </c>
      <c r="D32" s="239" t="s">
        <v>649</v>
      </c>
      <c r="F32" s="49" t="s">
        <v>12</v>
      </c>
      <c r="G32" s="50" t="s">
        <v>647</v>
      </c>
      <c r="H32" s="244" t="s">
        <v>648</v>
      </c>
      <c r="I32" s="239" t="s">
        <v>649</v>
      </c>
    </row>
    <row r="33" spans="1:9" ht="105" x14ac:dyDescent="0.25">
      <c r="A33" s="360">
        <v>1</v>
      </c>
      <c r="B33" s="323">
        <v>45507.83</v>
      </c>
      <c r="C33" s="264" t="s">
        <v>661</v>
      </c>
      <c r="D33" s="361" t="s">
        <v>1365</v>
      </c>
      <c r="F33" s="360">
        <v>1</v>
      </c>
      <c r="G33" s="323">
        <v>2000</v>
      </c>
      <c r="H33" s="264"/>
      <c r="I33" s="361"/>
    </row>
    <row r="34" spans="1:9" ht="30" x14ac:dyDescent="0.25">
      <c r="A34" s="51">
        <v>2</v>
      </c>
      <c r="B34" s="323">
        <v>8000</v>
      </c>
      <c r="C34" s="264" t="s">
        <v>662</v>
      </c>
      <c r="D34" s="814" t="s">
        <v>663</v>
      </c>
      <c r="F34" s="360">
        <v>2</v>
      </c>
      <c r="G34" s="323">
        <v>3000</v>
      </c>
      <c r="H34" s="264"/>
      <c r="I34" s="361"/>
    </row>
    <row r="35" spans="1:9" ht="30" x14ac:dyDescent="0.25">
      <c r="A35" s="51">
        <v>3</v>
      </c>
      <c r="B35" s="323">
        <v>25000</v>
      </c>
      <c r="C35" s="264" t="s">
        <v>664</v>
      </c>
      <c r="D35" s="361" t="s">
        <v>1363</v>
      </c>
      <c r="F35" s="51"/>
      <c r="G35" s="323"/>
      <c r="H35" s="264"/>
      <c r="I35" s="361"/>
    </row>
    <row r="36" spans="1:9" x14ac:dyDescent="0.25">
      <c r="A36" s="51" t="s">
        <v>654</v>
      </c>
      <c r="B36" s="323">
        <v>0</v>
      </c>
      <c r="C36" s="264"/>
      <c r="D36" s="361"/>
      <c r="F36" s="51"/>
      <c r="G36" s="323"/>
      <c r="H36" s="264"/>
      <c r="I36" s="361"/>
    </row>
    <row r="37" spans="1:9" x14ac:dyDescent="0.25">
      <c r="A37" s="148" t="s">
        <v>630</v>
      </c>
      <c r="B37" s="324">
        <f>SUBTOTAL(109,Tabelle211123957[Betrag])</f>
        <v>78507.83</v>
      </c>
      <c r="C37" s="267"/>
      <c r="D37" s="246">
        <f>SUBTOTAL(103,Tabelle211123957[Begründung])</f>
        <v>3</v>
      </c>
      <c r="F37" s="51" t="s">
        <v>654</v>
      </c>
      <c r="G37" s="323">
        <v>1000</v>
      </c>
      <c r="H37" s="264"/>
      <c r="I37" s="361"/>
    </row>
    <row r="38" spans="1:9" x14ac:dyDescent="0.25">
      <c r="F38" s="148" t="s">
        <v>630</v>
      </c>
      <c r="G38" s="324">
        <f>SUBTOTAL(109,Tabelle2111239[Betrag])</f>
        <v>6000</v>
      </c>
      <c r="H38" s="267"/>
      <c r="I38" s="246">
        <f>SUBTOTAL(103,Tabelle2111239[Begründung])</f>
        <v>0</v>
      </c>
    </row>
  </sheetData>
  <pageMargins left="0.7" right="0.7" top="0.78740157499999996" bottom="0.78740157499999996"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R145"/>
  <sheetViews>
    <sheetView zoomScale="75" zoomScaleNormal="75" workbookViewId="0">
      <pane xSplit="1" ySplit="7" topLeftCell="B123" activePane="bottomRight" state="frozen"/>
      <selection pane="topRight" activeCell="B1" sqref="B1"/>
      <selection pane="bottomLeft" activeCell="A8" sqref="A8"/>
      <selection pane="bottomRight" activeCell="B130" sqref="B130"/>
    </sheetView>
  </sheetViews>
  <sheetFormatPr baseColWidth="10" defaultColWidth="11.42578125" defaultRowHeight="15" outlineLevelRow="2" x14ac:dyDescent="0.25"/>
  <cols>
    <col min="1" max="1" width="42.42578125" customWidth="1"/>
    <col min="2" max="18" width="13.7109375" customWidth="1"/>
  </cols>
  <sheetData>
    <row r="1" spans="1:18" ht="60.75" thickBot="1" x14ac:dyDescent="0.3">
      <c r="A1" s="64" t="s">
        <v>665</v>
      </c>
      <c r="B1" s="362" t="s">
        <v>666</v>
      </c>
      <c r="C1" s="363" t="s">
        <v>329</v>
      </c>
      <c r="D1" s="363" t="s">
        <v>667</v>
      </c>
      <c r="E1" s="363" t="s">
        <v>333</v>
      </c>
      <c r="F1" s="363" t="s">
        <v>668</v>
      </c>
      <c r="G1" s="363" t="s">
        <v>669</v>
      </c>
      <c r="H1" s="363" t="s">
        <v>670</v>
      </c>
      <c r="I1" s="363" t="s">
        <v>671</v>
      </c>
      <c r="J1" s="363" t="s">
        <v>342</v>
      </c>
      <c r="K1" s="363" t="s">
        <v>672</v>
      </c>
      <c r="L1" s="363" t="s">
        <v>432</v>
      </c>
      <c r="M1" s="363" t="s">
        <v>532</v>
      </c>
      <c r="N1" s="363" t="s">
        <v>673</v>
      </c>
      <c r="O1" s="363" t="s">
        <v>674</v>
      </c>
      <c r="P1" s="363" t="s">
        <v>675</v>
      </c>
      <c r="Q1" s="363" t="s">
        <v>676</v>
      </c>
      <c r="R1" s="364" t="s">
        <v>121</v>
      </c>
    </row>
    <row r="2" spans="1:18" ht="23.25" customHeight="1" thickBot="1" x14ac:dyDescent="0.3">
      <c r="A2" s="87" t="s">
        <v>553</v>
      </c>
      <c r="B2" s="365">
        <f>1150</f>
        <v>1150</v>
      </c>
      <c r="C2" s="366">
        <f>8050</f>
        <v>8050</v>
      </c>
      <c r="D2" s="366">
        <f>17800</f>
        <v>17800</v>
      </c>
      <c r="E2" s="366">
        <f>2300</f>
        <v>2300</v>
      </c>
      <c r="F2" s="366">
        <f>2500</f>
        <v>2500</v>
      </c>
      <c r="G2" s="366">
        <f>13500</f>
        <v>13500</v>
      </c>
      <c r="H2" s="366">
        <f>5960</f>
        <v>5960</v>
      </c>
      <c r="I2" s="366">
        <f>22000</f>
        <v>22000</v>
      </c>
      <c r="J2" s="366">
        <f>0</f>
        <v>0</v>
      </c>
      <c r="K2" s="366">
        <f>2100</f>
        <v>2100</v>
      </c>
      <c r="L2" s="367"/>
      <c r="M2" s="368">
        <f>SUBTOTAL(9,B2:K2)</f>
        <v>75360</v>
      </c>
      <c r="N2" s="369">
        <f>0</f>
        <v>0</v>
      </c>
      <c r="O2" s="369">
        <f>0</f>
        <v>0</v>
      </c>
      <c r="P2" s="369">
        <f>0</f>
        <v>0</v>
      </c>
      <c r="Q2" s="370">
        <f>0</f>
        <v>0</v>
      </c>
      <c r="R2" s="371">
        <f>0</f>
        <v>0</v>
      </c>
    </row>
    <row r="3" spans="1:18" ht="23.25" customHeight="1" thickBot="1" x14ac:dyDescent="0.3">
      <c r="A3" s="87" t="s">
        <v>554</v>
      </c>
      <c r="B3" s="237">
        <f>Tabelle8[[#Totals],[Honorare Dozierende]]</f>
        <v>9180</v>
      </c>
      <c r="C3" s="218">
        <f>Tabelle8[[#Totals],[Andere Honorare]]</f>
        <v>10200</v>
      </c>
      <c r="D3" s="218">
        <f>Tabelle8[[#Totals],[Interne Reisekosten]]</f>
        <v>16800</v>
      </c>
      <c r="E3" s="218">
        <f>Tabelle8[[#Totals],[Externe Reisekosten]]</f>
        <v>3850</v>
      </c>
      <c r="F3" s="218">
        <f>Tabelle8[[#Totals],[Bewirtung/Repräsentation int.]]</f>
        <v>5050</v>
      </c>
      <c r="G3" s="218">
        <f>Tabelle8[[#Totals],[Bewirtung/Repräsentation ext.]]</f>
        <v>10100</v>
      </c>
      <c r="H3" s="218">
        <f>Tabelle8[[#Totals],[Raum- und Unterkunftskosten int.]]</f>
        <v>16250</v>
      </c>
      <c r="I3" s="218">
        <f>Tabelle8[[#Totals],[Raum- und Unterkunftskosten ext.]]</f>
        <v>4730</v>
      </c>
      <c r="J3" s="218">
        <f>Tabelle8[[#Totals],[Druckkosten]]</f>
        <v>3150</v>
      </c>
      <c r="K3" s="218">
        <f>Tabelle8[[#Totals],[Sonstige Ausgaben]]</f>
        <v>11700</v>
      </c>
      <c r="L3" s="218">
        <f>Tabelle8[[#Totals],[IT-Dienstleistungen]]</f>
        <v>5500</v>
      </c>
      <c r="M3" s="62">
        <f>SUM(B3:L3)</f>
        <v>96510</v>
      </c>
      <c r="N3" s="321">
        <f>Tabelle8[[#Totals],[Teilnahmebeiträge Seminare]]</f>
        <v>5200</v>
      </c>
      <c r="O3" s="321">
        <f>Tabelle8[[#Totals],[Teilnahmebeiträge Veranstaltungen]]</f>
        <v>5050</v>
      </c>
      <c r="P3" s="321">
        <f>Tabelle8[[#Totals],[Bewirtung Veranst.]]</f>
        <v>0</v>
      </c>
      <c r="Q3" s="321">
        <f>Tabelle8[[#Totals],[Förderungen]]</f>
        <v>13300</v>
      </c>
      <c r="R3" s="63">
        <f>Tabelle8[[#Totals],[Einnahmen Gesamt]]</f>
        <v>21550</v>
      </c>
    </row>
    <row r="4" spans="1:18" x14ac:dyDescent="0.25">
      <c r="A4" s="140" t="s">
        <v>677</v>
      </c>
      <c r="B4">
        <v>1450</v>
      </c>
      <c r="C4">
        <v>10150</v>
      </c>
      <c r="D4">
        <v>17000</v>
      </c>
      <c r="E4">
        <v>2900</v>
      </c>
      <c r="G4">
        <v>13500</v>
      </c>
      <c r="H4">
        <v>6660</v>
      </c>
      <c r="I4">
        <v>34500</v>
      </c>
      <c r="K4">
        <v>2200</v>
      </c>
    </row>
    <row r="5" spans="1:18" ht="19.5" thickBot="1" x14ac:dyDescent="0.35">
      <c r="A5" s="11" t="s">
        <v>678</v>
      </c>
    </row>
    <row r="6" spans="1:18" ht="23.25" customHeight="1" x14ac:dyDescent="0.25">
      <c r="A6" s="87" t="s">
        <v>679</v>
      </c>
      <c r="B6" s="372" t="s">
        <v>324</v>
      </c>
      <c r="C6" s="373" t="s">
        <v>327</v>
      </c>
      <c r="D6" s="373" t="s">
        <v>242</v>
      </c>
      <c r="E6" s="373" t="s">
        <v>331</v>
      </c>
      <c r="F6" s="373" t="s">
        <v>294</v>
      </c>
      <c r="G6" s="373" t="s">
        <v>335</v>
      </c>
      <c r="H6" s="373" t="s">
        <v>267</v>
      </c>
      <c r="I6" s="373" t="s">
        <v>338</v>
      </c>
      <c r="J6" s="373" t="s">
        <v>341</v>
      </c>
      <c r="K6" s="373" t="s">
        <v>343</v>
      </c>
      <c r="L6" s="373" t="s">
        <v>430</v>
      </c>
      <c r="M6" s="373"/>
      <c r="N6" s="374" t="s">
        <v>37</v>
      </c>
      <c r="O6" s="374" t="s">
        <v>40</v>
      </c>
      <c r="P6" s="374" t="s">
        <v>48</v>
      </c>
      <c r="Q6" s="374" t="s">
        <v>52</v>
      </c>
      <c r="R6" s="375"/>
    </row>
    <row r="7" spans="1:18" ht="60.75" outlineLevel="1" thickBot="1" x14ac:dyDescent="0.3">
      <c r="A7" s="65" t="s">
        <v>680</v>
      </c>
      <c r="B7" s="39" t="s">
        <v>666</v>
      </c>
      <c r="C7" s="39" t="s">
        <v>329</v>
      </c>
      <c r="D7" s="39" t="s">
        <v>667</v>
      </c>
      <c r="E7" s="39" t="s">
        <v>333</v>
      </c>
      <c r="F7" s="39" t="s">
        <v>668</v>
      </c>
      <c r="G7" s="39" t="s">
        <v>669</v>
      </c>
      <c r="H7" s="39" t="s">
        <v>670</v>
      </c>
      <c r="I7" s="39" t="s">
        <v>671</v>
      </c>
      <c r="J7" s="39" t="s">
        <v>342</v>
      </c>
      <c r="K7" s="39" t="s">
        <v>672</v>
      </c>
      <c r="L7" s="39" t="s">
        <v>432</v>
      </c>
      <c r="M7" s="39" t="s">
        <v>532</v>
      </c>
      <c r="N7" s="39" t="s">
        <v>673</v>
      </c>
      <c r="O7" s="39" t="s">
        <v>674</v>
      </c>
      <c r="P7" s="39" t="s">
        <v>675</v>
      </c>
      <c r="Q7" s="39" t="s">
        <v>676</v>
      </c>
      <c r="R7" s="39" t="s">
        <v>121</v>
      </c>
    </row>
    <row r="8" spans="1:18" ht="15.75" outlineLevel="1" thickBot="1" x14ac:dyDescent="0.3">
      <c r="A8" s="48" t="s">
        <v>681</v>
      </c>
      <c r="B8" s="52"/>
      <c r="C8" s="52"/>
      <c r="D8" s="52"/>
      <c r="E8" s="52"/>
      <c r="F8" s="52"/>
      <c r="G8" s="52"/>
      <c r="H8" s="52"/>
      <c r="I8" s="52"/>
      <c r="J8" s="52"/>
      <c r="K8" s="52"/>
      <c r="L8" s="52"/>
      <c r="M8" s="52"/>
      <c r="N8" s="53"/>
      <c r="O8" s="53"/>
      <c r="P8" s="53"/>
      <c r="Q8" s="53"/>
      <c r="R8" s="54"/>
    </row>
    <row r="9" spans="1:18" s="84" customFormat="1" ht="90" outlineLevel="2" x14ac:dyDescent="0.25">
      <c r="A9" s="376" t="s">
        <v>682</v>
      </c>
      <c r="B9" s="377">
        <v>2000</v>
      </c>
      <c r="C9" s="377">
        <v>2000</v>
      </c>
      <c r="D9" s="377">
        <v>0</v>
      </c>
      <c r="E9" s="377">
        <v>500</v>
      </c>
      <c r="F9" s="377">
        <v>150</v>
      </c>
      <c r="G9" s="377">
        <v>200</v>
      </c>
      <c r="H9" s="377">
        <v>300</v>
      </c>
      <c r="I9" s="377">
        <v>100</v>
      </c>
      <c r="J9" s="377"/>
      <c r="K9" s="377"/>
      <c r="L9" s="377"/>
      <c r="M9" s="378">
        <f>SUM(B9:L9)</f>
        <v>5250</v>
      </c>
      <c r="N9" s="377">
        <v>1500</v>
      </c>
      <c r="O9" s="377">
        <v>500</v>
      </c>
      <c r="P9" s="377"/>
      <c r="Q9" s="377"/>
      <c r="R9" s="379">
        <f>SUM(N9:Q9)</f>
        <v>2000</v>
      </c>
    </row>
    <row r="10" spans="1:18" s="84" customFormat="1" ht="30" outlineLevel="2" x14ac:dyDescent="0.25">
      <c r="A10" s="380" t="s">
        <v>683</v>
      </c>
      <c r="B10" s="328"/>
      <c r="C10" s="328"/>
      <c r="D10" s="328">
        <v>1000</v>
      </c>
      <c r="E10" s="328"/>
      <c r="F10" s="328">
        <v>100</v>
      </c>
      <c r="G10" s="328"/>
      <c r="H10" s="328">
        <v>400</v>
      </c>
      <c r="I10" s="328"/>
      <c r="J10" s="328"/>
      <c r="K10" s="328"/>
      <c r="L10" s="328"/>
      <c r="M10" s="328">
        <f t="shared" ref="M10:M13" si="0">SUM(B10:L10)</f>
        <v>1500</v>
      </c>
      <c r="N10" s="328"/>
      <c r="O10" s="328"/>
      <c r="P10" s="328"/>
      <c r="Q10" s="328"/>
      <c r="R10" s="381">
        <f t="shared" ref="R10:R13" si="1">SUM(N10:Q10)</f>
        <v>0</v>
      </c>
    </row>
    <row r="11" spans="1:18" s="84" customFormat="1" outlineLevel="2" x14ac:dyDescent="0.25">
      <c r="A11" s="380"/>
      <c r="B11" s="328"/>
      <c r="C11" s="328"/>
      <c r="D11" s="328"/>
      <c r="E11" s="328"/>
      <c r="F11" s="328"/>
      <c r="G11" s="328"/>
      <c r="H11" s="328"/>
      <c r="I11" s="328"/>
      <c r="J11" s="328"/>
      <c r="K11" s="328"/>
      <c r="L11" s="328"/>
      <c r="M11" s="328">
        <f t="shared" si="0"/>
        <v>0</v>
      </c>
      <c r="N11" s="328"/>
      <c r="O11" s="328"/>
      <c r="P11" s="328"/>
      <c r="Q11" s="328"/>
      <c r="R11" s="381">
        <f t="shared" si="1"/>
        <v>0</v>
      </c>
    </row>
    <row r="12" spans="1:18" s="84" customFormat="1" outlineLevel="2" x14ac:dyDescent="0.25">
      <c r="A12" s="382"/>
      <c r="B12" s="316"/>
      <c r="C12" s="316"/>
      <c r="D12" s="316"/>
      <c r="E12" s="316"/>
      <c r="F12" s="316"/>
      <c r="G12" s="316"/>
      <c r="H12" s="316"/>
      <c r="I12" s="316"/>
      <c r="J12" s="316"/>
      <c r="K12" s="316"/>
      <c r="L12" s="316"/>
      <c r="M12" s="328">
        <f t="shared" si="0"/>
        <v>0</v>
      </c>
      <c r="N12" s="316"/>
      <c r="O12" s="316"/>
      <c r="P12" s="316"/>
      <c r="Q12" s="316"/>
      <c r="R12" s="383">
        <f t="shared" si="1"/>
        <v>0</v>
      </c>
    </row>
    <row r="13" spans="1:18" s="84" customFormat="1" ht="15.75" outlineLevel="2" thickBot="1" x14ac:dyDescent="0.3">
      <c r="A13" s="382" t="s">
        <v>684</v>
      </c>
      <c r="B13" s="316">
        <v>1000</v>
      </c>
      <c r="C13" s="316">
        <v>1000</v>
      </c>
      <c r="D13" s="316"/>
      <c r="E13" s="316"/>
      <c r="F13" s="316">
        <v>100</v>
      </c>
      <c r="G13" s="316">
        <v>100</v>
      </c>
      <c r="H13" s="316"/>
      <c r="I13" s="316"/>
      <c r="J13" s="316">
        <v>500</v>
      </c>
      <c r="K13" s="316">
        <v>500</v>
      </c>
      <c r="L13" s="316">
        <v>500</v>
      </c>
      <c r="M13" s="327">
        <f t="shared" si="0"/>
        <v>3700</v>
      </c>
      <c r="N13" s="316"/>
      <c r="O13" s="316"/>
      <c r="P13" s="316"/>
      <c r="Q13" s="316"/>
      <c r="R13" s="383">
        <f t="shared" si="1"/>
        <v>0</v>
      </c>
    </row>
    <row r="14" spans="1:18" ht="15.75" outlineLevel="1" thickBot="1" x14ac:dyDescent="0.3">
      <c r="A14" s="55" t="s">
        <v>685</v>
      </c>
      <c r="B14" s="56">
        <f t="shared" ref="B14:L14" si="2">SUBTOTAL(9,B9:B13)</f>
        <v>3000</v>
      </c>
      <c r="C14" s="57">
        <f t="shared" si="2"/>
        <v>3000</v>
      </c>
      <c r="D14" s="57">
        <f t="shared" si="2"/>
        <v>1000</v>
      </c>
      <c r="E14" s="57">
        <f t="shared" si="2"/>
        <v>500</v>
      </c>
      <c r="F14" s="57">
        <f t="shared" si="2"/>
        <v>350</v>
      </c>
      <c r="G14" s="57">
        <f t="shared" si="2"/>
        <v>300</v>
      </c>
      <c r="H14" s="57">
        <f t="shared" si="2"/>
        <v>700</v>
      </c>
      <c r="I14" s="57">
        <f t="shared" si="2"/>
        <v>100</v>
      </c>
      <c r="J14" s="57">
        <f t="shared" si="2"/>
        <v>500</v>
      </c>
      <c r="K14" s="57">
        <f t="shared" si="2"/>
        <v>500</v>
      </c>
      <c r="L14" s="57">
        <f t="shared" si="2"/>
        <v>500</v>
      </c>
      <c r="M14" s="57">
        <f>SUM(B14:L14)</f>
        <v>10450</v>
      </c>
      <c r="N14" s="58">
        <f>SUBTOTAL(9,N9:N13)</f>
        <v>1500</v>
      </c>
      <c r="O14" s="58">
        <f>SUBTOTAL(9,O9:O13)</f>
        <v>500</v>
      </c>
      <c r="P14" s="58">
        <f>SUBTOTAL(9,P9:P13)</f>
        <v>0</v>
      </c>
      <c r="Q14" s="58">
        <f>SUBTOTAL(9,Q9:Q13)</f>
        <v>0</v>
      </c>
      <c r="R14" s="59">
        <f>SUBTOTAL(9,R9:R13)</f>
        <v>2000</v>
      </c>
    </row>
    <row r="15" spans="1:18" outlineLevel="1" x14ac:dyDescent="0.25">
      <c r="A15" s="36"/>
      <c r="B15" s="60"/>
      <c r="C15" s="60"/>
      <c r="D15" s="60"/>
      <c r="E15" s="60"/>
      <c r="F15" s="60"/>
      <c r="G15" s="60"/>
      <c r="H15" s="60"/>
      <c r="I15" s="60"/>
      <c r="J15" s="60"/>
      <c r="K15" s="60"/>
      <c r="L15" s="60"/>
      <c r="M15" s="60"/>
      <c r="N15" s="60"/>
      <c r="O15" s="60"/>
      <c r="P15" s="60"/>
      <c r="Q15" s="60"/>
      <c r="R15" s="61"/>
    </row>
    <row r="16" spans="1:18" ht="15.75" outlineLevel="1" thickBot="1" x14ac:dyDescent="0.3">
      <c r="A16" s="48" t="s">
        <v>686</v>
      </c>
      <c r="B16" s="52"/>
      <c r="C16" s="52"/>
      <c r="D16" s="52"/>
      <c r="E16" s="52"/>
      <c r="F16" s="52"/>
      <c r="G16" s="52"/>
      <c r="H16" s="52"/>
      <c r="I16" s="52"/>
      <c r="J16" s="52"/>
      <c r="K16" s="52"/>
      <c r="L16" s="52"/>
      <c r="M16" s="52"/>
      <c r="N16" s="53"/>
      <c r="O16" s="53"/>
      <c r="P16" s="53"/>
      <c r="Q16" s="53"/>
      <c r="R16" s="54"/>
    </row>
    <row r="17" spans="1:18" s="84" customFormat="1" ht="30" outlineLevel="2" x14ac:dyDescent="0.25">
      <c r="A17" s="376" t="s">
        <v>687</v>
      </c>
      <c r="B17" s="377"/>
      <c r="C17" s="377"/>
      <c r="D17" s="377">
        <v>800</v>
      </c>
      <c r="E17" s="377"/>
      <c r="F17" s="377">
        <v>100</v>
      </c>
      <c r="G17" s="377">
        <v>100</v>
      </c>
      <c r="H17" s="377">
        <v>600</v>
      </c>
      <c r="I17" s="377"/>
      <c r="J17" s="377"/>
      <c r="K17" s="377">
        <v>800</v>
      </c>
      <c r="L17" s="377"/>
      <c r="M17" s="378">
        <f>SUM(B17:L17)</f>
        <v>2400</v>
      </c>
      <c r="N17" s="377"/>
      <c r="O17" s="377"/>
      <c r="P17" s="377"/>
      <c r="Q17" s="377"/>
      <c r="R17" s="379">
        <f>SUM(N17:Q17)</f>
        <v>0</v>
      </c>
    </row>
    <row r="18" spans="1:18" s="84" customFormat="1" ht="30" outlineLevel="2" x14ac:dyDescent="0.25">
      <c r="A18" s="380" t="s">
        <v>688</v>
      </c>
      <c r="B18" s="328"/>
      <c r="C18" s="328">
        <v>600</v>
      </c>
      <c r="D18" s="328">
        <v>200</v>
      </c>
      <c r="E18" s="328"/>
      <c r="F18" s="328"/>
      <c r="G18" s="328"/>
      <c r="H18" s="328"/>
      <c r="I18" s="328"/>
      <c r="J18" s="328"/>
      <c r="K18" s="328">
        <v>100</v>
      </c>
      <c r="L18" s="328">
        <v>500</v>
      </c>
      <c r="M18" s="328">
        <f t="shared" ref="M18:M21" si="3">SUM(B18:L18)</f>
        <v>1400</v>
      </c>
      <c r="N18" s="328"/>
      <c r="O18" s="328"/>
      <c r="P18" s="328"/>
      <c r="Q18" s="328"/>
      <c r="R18" s="381">
        <f t="shared" ref="R18:R21" si="4">SUM(N18:Q18)</f>
        <v>0</v>
      </c>
    </row>
    <row r="19" spans="1:18" s="84" customFormat="1" ht="45" outlineLevel="2" x14ac:dyDescent="0.25">
      <c r="A19" s="380" t="s">
        <v>689</v>
      </c>
      <c r="B19" s="328"/>
      <c r="C19" s="328">
        <v>600</v>
      </c>
      <c r="D19" s="328">
        <v>800</v>
      </c>
      <c r="E19" s="328"/>
      <c r="F19" s="328">
        <v>50</v>
      </c>
      <c r="G19" s="328"/>
      <c r="H19" s="328">
        <v>250</v>
      </c>
      <c r="I19" s="328"/>
      <c r="J19" s="328">
        <v>75</v>
      </c>
      <c r="K19" s="328"/>
      <c r="L19" s="328"/>
      <c r="M19" s="328">
        <f t="shared" si="3"/>
        <v>1775</v>
      </c>
      <c r="N19" s="328"/>
      <c r="O19" s="328">
        <v>250</v>
      </c>
      <c r="P19" s="328"/>
      <c r="Q19" s="328"/>
      <c r="R19" s="381">
        <f t="shared" si="4"/>
        <v>250</v>
      </c>
    </row>
    <row r="20" spans="1:18" s="84" customFormat="1" outlineLevel="2" x14ac:dyDescent="0.25">
      <c r="A20" s="382" t="s">
        <v>690</v>
      </c>
      <c r="B20" s="316"/>
      <c r="C20" s="316"/>
      <c r="D20" s="316">
        <v>600</v>
      </c>
      <c r="E20" s="316">
        <v>200</v>
      </c>
      <c r="F20" s="316">
        <v>100</v>
      </c>
      <c r="G20" s="316">
        <v>50</v>
      </c>
      <c r="H20" s="316">
        <v>250</v>
      </c>
      <c r="I20" s="316">
        <v>80</v>
      </c>
      <c r="J20" s="316"/>
      <c r="K20" s="316"/>
      <c r="L20" s="316"/>
      <c r="M20" s="328">
        <f t="shared" si="3"/>
        <v>1280</v>
      </c>
      <c r="N20" s="316"/>
      <c r="O20" s="316"/>
      <c r="P20" s="316"/>
      <c r="Q20" s="316"/>
      <c r="R20" s="383">
        <f t="shared" si="4"/>
        <v>0</v>
      </c>
    </row>
    <row r="21" spans="1:18" s="84" customFormat="1" ht="15.75" outlineLevel="2" thickBot="1" x14ac:dyDescent="0.3">
      <c r="A21" s="382" t="s">
        <v>684</v>
      </c>
      <c r="B21" s="316"/>
      <c r="C21" s="316">
        <v>300</v>
      </c>
      <c r="D21" s="316"/>
      <c r="E21" s="316">
        <v>200</v>
      </c>
      <c r="F21" s="316">
        <v>100</v>
      </c>
      <c r="G21" s="316">
        <v>50</v>
      </c>
      <c r="H21" s="316"/>
      <c r="I21" s="316">
        <v>50</v>
      </c>
      <c r="J21" s="316">
        <v>25</v>
      </c>
      <c r="K21" s="316">
        <v>100</v>
      </c>
      <c r="L21" s="316">
        <v>500</v>
      </c>
      <c r="M21" s="327">
        <f t="shared" si="3"/>
        <v>1325</v>
      </c>
      <c r="N21" s="316"/>
      <c r="O21" s="316"/>
      <c r="P21" s="316"/>
      <c r="Q21" s="316"/>
      <c r="R21" s="383">
        <f t="shared" si="4"/>
        <v>0</v>
      </c>
    </row>
    <row r="22" spans="1:18" ht="15.75" outlineLevel="1" thickBot="1" x14ac:dyDescent="0.3">
      <c r="A22" s="55" t="s">
        <v>685</v>
      </c>
      <c r="B22" s="56">
        <f>SUBTOTAL(9,B17:B21)</f>
        <v>0</v>
      </c>
      <c r="C22" s="57">
        <f t="shared" ref="C22" si="5">SUBTOTAL(9,C17:C21)</f>
        <v>1500</v>
      </c>
      <c r="D22" s="57">
        <f t="shared" ref="D22" si="6">SUBTOTAL(9,D17:D21)</f>
        <v>2400</v>
      </c>
      <c r="E22" s="57">
        <f t="shared" ref="E22" si="7">SUBTOTAL(9,E17:E21)</f>
        <v>400</v>
      </c>
      <c r="F22" s="57">
        <f t="shared" ref="F22" si="8">SUBTOTAL(9,F17:F21)</f>
        <v>350</v>
      </c>
      <c r="G22" s="57">
        <f t="shared" ref="G22" si="9">SUBTOTAL(9,G17:G21)</f>
        <v>200</v>
      </c>
      <c r="H22" s="57">
        <f t="shared" ref="H22" si="10">SUBTOTAL(9,H17:H21)</f>
        <v>1100</v>
      </c>
      <c r="I22" s="57">
        <f t="shared" ref="I22" si="11">SUBTOTAL(9,I17:I21)</f>
        <v>130</v>
      </c>
      <c r="J22" s="57">
        <f t="shared" ref="J22" si="12">SUBTOTAL(9,J17:J21)</f>
        <v>100</v>
      </c>
      <c r="K22" s="57">
        <f t="shared" ref="K22:L22" si="13">SUBTOTAL(9,K17:K21)</f>
        <v>1000</v>
      </c>
      <c r="L22" s="57">
        <f t="shared" si="13"/>
        <v>1000</v>
      </c>
      <c r="M22" s="57">
        <f>SUM(B22:L22)</f>
        <v>8180</v>
      </c>
      <c r="N22" s="58">
        <f t="shared" ref="N22" si="14">SUBTOTAL(9,N17:N21)</f>
        <v>0</v>
      </c>
      <c r="O22" s="58">
        <f t="shared" ref="O22" si="15">SUBTOTAL(9,O17:O21)</f>
        <v>250</v>
      </c>
      <c r="P22" s="58">
        <f t="shared" ref="P22" si="16">SUBTOTAL(9,P17:P21)</f>
        <v>0</v>
      </c>
      <c r="Q22" s="58">
        <f t="shared" ref="Q22" si="17">SUBTOTAL(9,Q17:Q21)</f>
        <v>0</v>
      </c>
      <c r="R22" s="59">
        <f t="shared" ref="R22" si="18">SUBTOTAL(9,R17:R21)</f>
        <v>250</v>
      </c>
    </row>
    <row r="23" spans="1:18" outlineLevel="1" x14ac:dyDescent="0.25">
      <c r="A23" s="36"/>
      <c r="B23" s="60"/>
      <c r="C23" s="60"/>
      <c r="D23" s="60"/>
      <c r="E23" s="60"/>
      <c r="F23" s="60"/>
      <c r="G23" s="60"/>
      <c r="H23" s="60"/>
      <c r="I23" s="60"/>
      <c r="J23" s="60"/>
      <c r="K23" s="60"/>
      <c r="L23" s="60"/>
      <c r="M23" s="60"/>
      <c r="N23" s="60"/>
      <c r="O23" s="60"/>
      <c r="P23" s="60"/>
      <c r="Q23" s="60"/>
      <c r="R23" s="61"/>
    </row>
    <row r="24" spans="1:18" ht="15.75" outlineLevel="1" thickBot="1" x14ac:dyDescent="0.3">
      <c r="A24" s="48" t="s">
        <v>691</v>
      </c>
      <c r="B24" s="52"/>
      <c r="C24" s="52"/>
      <c r="D24" s="52"/>
      <c r="E24" s="52"/>
      <c r="F24" s="52"/>
      <c r="G24" s="52"/>
      <c r="H24" s="52"/>
      <c r="I24" s="52"/>
      <c r="J24" s="52"/>
      <c r="K24" s="52"/>
      <c r="L24" s="52"/>
      <c r="M24" s="52"/>
      <c r="N24" s="53"/>
      <c r="O24" s="53"/>
      <c r="P24" s="53"/>
      <c r="Q24" s="53"/>
      <c r="R24" s="54"/>
    </row>
    <row r="25" spans="1:18" s="84" customFormat="1" outlineLevel="2" x14ac:dyDescent="0.25">
      <c r="A25" s="384" t="s">
        <v>692</v>
      </c>
      <c r="B25" s="385">
        <v>750</v>
      </c>
      <c r="C25" s="385">
        <v>1500</v>
      </c>
      <c r="D25" s="385">
        <v>2500</v>
      </c>
      <c r="E25" s="385">
        <v>500</v>
      </c>
      <c r="F25" s="385">
        <v>1400</v>
      </c>
      <c r="G25" s="385">
        <v>300</v>
      </c>
      <c r="H25" s="385">
        <v>5000</v>
      </c>
      <c r="I25" s="385">
        <v>1000</v>
      </c>
      <c r="J25" s="385"/>
      <c r="K25" s="385">
        <v>1400</v>
      </c>
      <c r="L25" s="385"/>
      <c r="M25" s="378">
        <f>SUM(B25:L25)</f>
        <v>14350</v>
      </c>
      <c r="N25" s="385">
        <v>500</v>
      </c>
      <c r="O25" s="385"/>
      <c r="P25" s="385"/>
      <c r="Q25" s="385">
        <v>10800</v>
      </c>
      <c r="R25" s="379">
        <f>SUM(N25:Q25)</f>
        <v>11300</v>
      </c>
    </row>
    <row r="26" spans="1:18" s="84" customFormat="1" ht="30" outlineLevel="2" x14ac:dyDescent="0.25">
      <c r="A26" s="322" t="s">
        <v>693</v>
      </c>
      <c r="B26" s="323">
        <v>330</v>
      </c>
      <c r="C26" s="323"/>
      <c r="D26" s="323"/>
      <c r="E26" s="323"/>
      <c r="F26" s="323"/>
      <c r="G26" s="323"/>
      <c r="H26" s="323"/>
      <c r="I26" s="323"/>
      <c r="J26" s="323"/>
      <c r="K26" s="323"/>
      <c r="L26" s="323"/>
      <c r="M26" s="328">
        <f t="shared" ref="M26:M40" si="19">SUM(B26:L26)</f>
        <v>330</v>
      </c>
      <c r="N26" s="323"/>
      <c r="O26" s="323"/>
      <c r="P26" s="323"/>
      <c r="Q26" s="323"/>
      <c r="R26" s="381">
        <f t="shared" ref="R26:R40" si="20">SUM(N26:Q26)</f>
        <v>0</v>
      </c>
    </row>
    <row r="27" spans="1:18" s="84" customFormat="1" ht="30" outlineLevel="2" x14ac:dyDescent="0.25">
      <c r="A27" s="322" t="s">
        <v>694</v>
      </c>
      <c r="B27" s="323">
        <v>330</v>
      </c>
      <c r="C27" s="323"/>
      <c r="D27" s="323"/>
      <c r="E27" s="323"/>
      <c r="F27" s="323"/>
      <c r="G27" s="323"/>
      <c r="H27" s="323"/>
      <c r="I27" s="323"/>
      <c r="J27" s="323"/>
      <c r="K27" s="323"/>
      <c r="L27" s="323"/>
      <c r="M27" s="328">
        <f t="shared" si="19"/>
        <v>330</v>
      </c>
      <c r="N27" s="323"/>
      <c r="O27" s="323"/>
      <c r="P27" s="323"/>
      <c r="Q27" s="323"/>
      <c r="R27" s="381">
        <f t="shared" si="20"/>
        <v>0</v>
      </c>
    </row>
    <row r="28" spans="1:18" s="84" customFormat="1" ht="45" outlineLevel="2" x14ac:dyDescent="0.25">
      <c r="A28" s="386" t="s">
        <v>695</v>
      </c>
      <c r="B28" s="324">
        <v>440</v>
      </c>
      <c r="C28" s="324"/>
      <c r="D28" s="324"/>
      <c r="E28" s="324"/>
      <c r="F28" s="324"/>
      <c r="G28" s="324"/>
      <c r="H28" s="324"/>
      <c r="I28" s="324"/>
      <c r="J28" s="324"/>
      <c r="K28" s="324"/>
      <c r="L28" s="324"/>
      <c r="M28" s="328">
        <f t="shared" si="19"/>
        <v>440</v>
      </c>
      <c r="N28" s="324"/>
      <c r="O28" s="324"/>
      <c r="P28" s="324"/>
      <c r="Q28" s="324"/>
      <c r="R28" s="383"/>
    </row>
    <row r="29" spans="1:18" s="84" customFormat="1" ht="45" outlineLevel="2" x14ac:dyDescent="0.25">
      <c r="A29" s="386" t="s">
        <v>696</v>
      </c>
      <c r="B29" s="324">
        <v>440</v>
      </c>
      <c r="C29" s="324"/>
      <c r="D29" s="324"/>
      <c r="E29" s="324"/>
      <c r="F29" s="324"/>
      <c r="G29" s="324"/>
      <c r="H29" s="324"/>
      <c r="I29" s="324"/>
      <c r="J29" s="324"/>
      <c r="K29" s="324"/>
      <c r="L29" s="324"/>
      <c r="M29" s="328">
        <f t="shared" si="19"/>
        <v>440</v>
      </c>
      <c r="N29" s="324"/>
      <c r="O29" s="324"/>
      <c r="P29" s="324"/>
      <c r="Q29" s="324"/>
      <c r="R29" s="383"/>
    </row>
    <row r="30" spans="1:18" s="84" customFormat="1" ht="30" outlineLevel="2" x14ac:dyDescent="0.25">
      <c r="A30" s="386" t="s">
        <v>697</v>
      </c>
      <c r="B30" s="324">
        <v>1500</v>
      </c>
      <c r="C30" s="324"/>
      <c r="D30" s="324"/>
      <c r="E30" s="324"/>
      <c r="F30" s="324"/>
      <c r="G30" s="324"/>
      <c r="H30" s="324"/>
      <c r="I30" s="324"/>
      <c r="J30" s="324"/>
      <c r="K30" s="324"/>
      <c r="L30" s="324"/>
      <c r="M30" s="328">
        <f t="shared" si="19"/>
        <v>1500</v>
      </c>
      <c r="N30" s="324"/>
      <c r="O30" s="324"/>
      <c r="P30" s="324"/>
      <c r="Q30" s="324"/>
      <c r="R30" s="383"/>
    </row>
    <row r="31" spans="1:18" s="84" customFormat="1" outlineLevel="2" x14ac:dyDescent="0.25">
      <c r="A31" s="386" t="s">
        <v>698</v>
      </c>
      <c r="B31" s="324"/>
      <c r="C31" s="324"/>
      <c r="D31" s="324"/>
      <c r="E31" s="324"/>
      <c r="F31" s="324"/>
      <c r="G31" s="324"/>
      <c r="H31" s="324"/>
      <c r="I31" s="324"/>
      <c r="J31" s="324"/>
      <c r="K31" s="324">
        <v>2500</v>
      </c>
      <c r="L31" s="324"/>
      <c r="M31" s="328">
        <f t="shared" si="19"/>
        <v>2500</v>
      </c>
      <c r="N31" s="324"/>
      <c r="O31" s="324"/>
      <c r="P31" s="324"/>
      <c r="Q31" s="324"/>
      <c r="R31" s="383"/>
    </row>
    <row r="32" spans="1:18" s="84" customFormat="1" outlineLevel="2" x14ac:dyDescent="0.25">
      <c r="A32" s="386" t="s">
        <v>699</v>
      </c>
      <c r="B32" s="324">
        <v>750</v>
      </c>
      <c r="C32" s="324"/>
      <c r="D32" s="324"/>
      <c r="E32" s="324"/>
      <c r="F32" s="324"/>
      <c r="G32" s="324"/>
      <c r="H32" s="324"/>
      <c r="I32" s="324"/>
      <c r="J32" s="324"/>
      <c r="K32" s="324"/>
      <c r="L32" s="324"/>
      <c r="M32" s="328">
        <f t="shared" si="19"/>
        <v>750</v>
      </c>
      <c r="N32" s="324"/>
      <c r="O32" s="324"/>
      <c r="P32" s="324"/>
      <c r="Q32" s="324"/>
      <c r="R32" s="383"/>
    </row>
    <row r="33" spans="1:18" s="84" customFormat="1" outlineLevel="2" x14ac:dyDescent="0.25">
      <c r="A33" s="386" t="s">
        <v>700</v>
      </c>
      <c r="B33" s="324"/>
      <c r="C33" s="324"/>
      <c r="D33" s="324"/>
      <c r="E33" s="324"/>
      <c r="F33" s="324"/>
      <c r="G33" s="324"/>
      <c r="H33" s="324">
        <v>6000</v>
      </c>
      <c r="I33" s="324"/>
      <c r="J33" s="324"/>
      <c r="K33" s="324">
        <v>2000</v>
      </c>
      <c r="L33" s="324"/>
      <c r="M33" s="328">
        <f t="shared" si="19"/>
        <v>8000</v>
      </c>
      <c r="N33" s="324">
        <v>2000</v>
      </c>
      <c r="O33" s="324"/>
      <c r="P33" s="324"/>
      <c r="Q33" s="324"/>
      <c r="R33" s="383"/>
    </row>
    <row r="34" spans="1:18" s="84" customFormat="1" outlineLevel="2" x14ac:dyDescent="0.25">
      <c r="A34" s="386" t="s">
        <v>701</v>
      </c>
      <c r="B34" s="324"/>
      <c r="C34" s="324">
        <v>300</v>
      </c>
      <c r="D34" s="324"/>
      <c r="E34" s="324"/>
      <c r="F34" s="324"/>
      <c r="G34" s="324"/>
      <c r="H34" s="324"/>
      <c r="I34" s="324"/>
      <c r="J34" s="324"/>
      <c r="K34" s="324"/>
      <c r="L34" s="324"/>
      <c r="M34" s="328">
        <f t="shared" si="19"/>
        <v>300</v>
      </c>
      <c r="N34" s="316"/>
      <c r="O34" s="316"/>
      <c r="P34" s="316"/>
      <c r="Q34" s="316"/>
      <c r="R34" s="383"/>
    </row>
    <row r="35" spans="1:18" s="84" customFormat="1" ht="30" outlineLevel="2" x14ac:dyDescent="0.25">
      <c r="A35" s="386" t="s">
        <v>702</v>
      </c>
      <c r="B35" s="324">
        <v>440</v>
      </c>
      <c r="C35" s="324"/>
      <c r="D35" s="324"/>
      <c r="E35" s="324"/>
      <c r="F35" s="324"/>
      <c r="G35" s="324"/>
      <c r="H35" s="324"/>
      <c r="I35" s="324"/>
      <c r="J35" s="324"/>
      <c r="K35" s="324"/>
      <c r="L35" s="324"/>
      <c r="M35" s="328">
        <f t="shared" si="19"/>
        <v>440</v>
      </c>
      <c r="N35" s="316"/>
      <c r="O35" s="316"/>
      <c r="P35" s="316"/>
      <c r="Q35" s="316"/>
      <c r="R35" s="383"/>
    </row>
    <row r="36" spans="1:18" s="84" customFormat="1" outlineLevel="2" x14ac:dyDescent="0.25">
      <c r="A36" s="386" t="s">
        <v>703</v>
      </c>
      <c r="B36" s="324"/>
      <c r="C36" s="324"/>
      <c r="D36" s="324"/>
      <c r="E36" s="324"/>
      <c r="F36" s="324"/>
      <c r="G36" s="324"/>
      <c r="H36" s="324"/>
      <c r="I36" s="324"/>
      <c r="J36" s="324"/>
      <c r="K36" s="324">
        <v>1000</v>
      </c>
      <c r="L36" s="324"/>
      <c r="M36" s="328">
        <f t="shared" si="19"/>
        <v>1000</v>
      </c>
      <c r="N36" s="316"/>
      <c r="O36" s="316"/>
      <c r="P36" s="316"/>
      <c r="Q36" s="316"/>
      <c r="R36" s="383"/>
    </row>
    <row r="37" spans="1:18" s="84" customFormat="1" ht="30" outlineLevel="2" x14ac:dyDescent="0.25">
      <c r="A37" s="386" t="s">
        <v>704</v>
      </c>
      <c r="B37" s="324"/>
      <c r="C37" s="324"/>
      <c r="D37" s="324">
        <v>750</v>
      </c>
      <c r="E37" s="324"/>
      <c r="F37" s="324"/>
      <c r="G37" s="324"/>
      <c r="H37" s="324">
        <v>700</v>
      </c>
      <c r="I37" s="324"/>
      <c r="J37" s="324"/>
      <c r="K37" s="324">
        <v>200</v>
      </c>
      <c r="L37" s="324"/>
      <c r="M37" s="328">
        <f t="shared" si="19"/>
        <v>1650</v>
      </c>
      <c r="N37" s="316"/>
      <c r="O37" s="316"/>
      <c r="P37" s="316"/>
      <c r="Q37" s="316"/>
      <c r="R37" s="383"/>
    </row>
    <row r="38" spans="1:18" s="84" customFormat="1" outlineLevel="2" x14ac:dyDescent="0.25">
      <c r="A38" s="386" t="s">
        <v>705</v>
      </c>
      <c r="B38" s="324"/>
      <c r="C38" s="324"/>
      <c r="D38" s="324">
        <v>200</v>
      </c>
      <c r="E38" s="324"/>
      <c r="F38" s="324"/>
      <c r="G38" s="324"/>
      <c r="H38" s="324">
        <v>200</v>
      </c>
      <c r="I38" s="324"/>
      <c r="J38" s="324"/>
      <c r="K38" s="324"/>
      <c r="L38" s="324"/>
      <c r="M38" s="328">
        <f t="shared" si="19"/>
        <v>400</v>
      </c>
      <c r="N38" s="316"/>
      <c r="O38" s="316"/>
      <c r="P38" s="316"/>
      <c r="Q38" s="316"/>
      <c r="R38" s="383"/>
    </row>
    <row r="39" spans="1:18" s="84" customFormat="1" outlineLevel="2" x14ac:dyDescent="0.25">
      <c r="A39" s="386" t="s">
        <v>706</v>
      </c>
      <c r="B39" s="316"/>
      <c r="C39" s="316"/>
      <c r="D39" s="316"/>
      <c r="E39" s="316"/>
      <c r="F39" s="316"/>
      <c r="G39" s="316"/>
      <c r="H39" s="316"/>
      <c r="I39" s="316"/>
      <c r="J39" s="316"/>
      <c r="K39" s="316"/>
      <c r="L39" s="316"/>
      <c r="M39" s="328">
        <f t="shared" si="19"/>
        <v>0</v>
      </c>
      <c r="N39" s="316"/>
      <c r="O39" s="316"/>
      <c r="P39" s="316"/>
      <c r="Q39" s="316"/>
      <c r="R39" s="383"/>
    </row>
    <row r="40" spans="1:18" s="84" customFormat="1" ht="15.75" outlineLevel="2" thickBot="1" x14ac:dyDescent="0.3">
      <c r="A40" s="382" t="s">
        <v>684</v>
      </c>
      <c r="B40" s="316"/>
      <c r="C40" s="316"/>
      <c r="D40" s="316"/>
      <c r="E40" s="316"/>
      <c r="F40" s="316"/>
      <c r="G40" s="316"/>
      <c r="H40" s="316"/>
      <c r="I40" s="316"/>
      <c r="J40" s="316"/>
      <c r="K40" s="316"/>
      <c r="L40" s="316"/>
      <c r="M40" s="327">
        <f t="shared" si="19"/>
        <v>0</v>
      </c>
      <c r="N40" s="316"/>
      <c r="O40" s="316"/>
      <c r="P40" s="316"/>
      <c r="Q40" s="316"/>
      <c r="R40" s="383">
        <f t="shared" si="20"/>
        <v>0</v>
      </c>
    </row>
    <row r="41" spans="1:18" ht="15.75" outlineLevel="1" thickBot="1" x14ac:dyDescent="0.3">
      <c r="A41" s="55" t="s">
        <v>685</v>
      </c>
      <c r="B41" s="56">
        <f t="shared" ref="B41:L41" si="21">SUBTOTAL(9,B25:B40)</f>
        <v>4980</v>
      </c>
      <c r="C41" s="57">
        <f t="shared" si="21"/>
        <v>1800</v>
      </c>
      <c r="D41" s="57">
        <f t="shared" si="21"/>
        <v>3450</v>
      </c>
      <c r="E41" s="57">
        <f t="shared" si="21"/>
        <v>500</v>
      </c>
      <c r="F41" s="57">
        <f t="shared" si="21"/>
        <v>1400</v>
      </c>
      <c r="G41" s="57">
        <f t="shared" si="21"/>
        <v>300</v>
      </c>
      <c r="H41" s="57">
        <f t="shared" si="21"/>
        <v>11900</v>
      </c>
      <c r="I41" s="57">
        <f t="shared" si="21"/>
        <v>1000</v>
      </c>
      <c r="J41" s="57">
        <f t="shared" si="21"/>
        <v>0</v>
      </c>
      <c r="K41" s="57">
        <f t="shared" si="21"/>
        <v>7100</v>
      </c>
      <c r="L41" s="57">
        <f t="shared" si="21"/>
        <v>0</v>
      </c>
      <c r="M41" s="57">
        <f>SUM(B41:L41)</f>
        <v>32430</v>
      </c>
      <c r="N41" s="58">
        <f>SUBTOTAL(9,N25:N40)</f>
        <v>2500</v>
      </c>
      <c r="O41" s="58">
        <f>SUBTOTAL(9,O25:O40)</f>
        <v>0</v>
      </c>
      <c r="P41" s="58">
        <f>SUBTOTAL(9,P25:P40)</f>
        <v>0</v>
      </c>
      <c r="Q41" s="58">
        <f>SUBTOTAL(9,Q25:Q40)</f>
        <v>10800</v>
      </c>
      <c r="R41" s="59">
        <f>SUBTOTAL(9,R25:R40)</f>
        <v>11300</v>
      </c>
    </row>
    <row r="42" spans="1:18" outlineLevel="1" x14ac:dyDescent="0.25">
      <c r="A42" s="36"/>
      <c r="B42" s="60"/>
      <c r="C42" s="60"/>
      <c r="D42" s="60"/>
      <c r="E42" s="60"/>
      <c r="F42" s="60"/>
      <c r="G42" s="60"/>
      <c r="H42" s="60"/>
      <c r="I42" s="60"/>
      <c r="J42" s="60"/>
      <c r="K42" s="60"/>
      <c r="L42" s="60"/>
      <c r="M42" s="60"/>
      <c r="N42" s="60"/>
      <c r="O42" s="60"/>
      <c r="P42" s="60"/>
      <c r="Q42" s="60"/>
      <c r="R42" s="61"/>
    </row>
    <row r="43" spans="1:18" ht="15.75" outlineLevel="1" thickBot="1" x14ac:dyDescent="0.3">
      <c r="A43" s="48" t="s">
        <v>707</v>
      </c>
      <c r="B43" s="52"/>
      <c r="C43" s="52"/>
      <c r="D43" s="52"/>
      <c r="E43" s="52"/>
      <c r="F43" s="52"/>
      <c r="G43" s="52"/>
      <c r="H43" s="52"/>
      <c r="I43" s="52"/>
      <c r="J43" s="52"/>
      <c r="K43" s="52"/>
      <c r="L43" s="52"/>
      <c r="M43" s="52"/>
      <c r="N43" s="53"/>
      <c r="O43" s="53"/>
      <c r="P43" s="53"/>
      <c r="Q43" s="53"/>
      <c r="R43" s="54"/>
    </row>
    <row r="44" spans="1:18" s="84" customFormat="1" ht="30" outlineLevel="2" x14ac:dyDescent="0.25">
      <c r="A44" s="376" t="s">
        <v>708</v>
      </c>
      <c r="B44" s="377"/>
      <c r="C44" s="377">
        <v>200</v>
      </c>
      <c r="D44" s="377">
        <v>600</v>
      </c>
      <c r="E44" s="377">
        <v>50</v>
      </c>
      <c r="F44" s="377">
        <v>100</v>
      </c>
      <c r="G44" s="377"/>
      <c r="H44" s="377">
        <v>200</v>
      </c>
      <c r="I44" s="377"/>
      <c r="J44" s="377"/>
      <c r="K44" s="377"/>
      <c r="L44" s="377"/>
      <c r="M44" s="377">
        <f>SUM(B44:L44)</f>
        <v>1150</v>
      </c>
      <c r="N44" s="377"/>
      <c r="O44" s="377"/>
      <c r="P44" s="377"/>
      <c r="Q44" s="377"/>
      <c r="R44" s="379">
        <f>SUM(N44:Q44)</f>
        <v>0</v>
      </c>
    </row>
    <row r="45" spans="1:18" s="84" customFormat="1" ht="30" outlineLevel="2" x14ac:dyDescent="0.25">
      <c r="A45" s="380" t="s">
        <v>709</v>
      </c>
      <c r="B45" s="328"/>
      <c r="C45" s="328"/>
      <c r="D45" s="328"/>
      <c r="E45" s="328"/>
      <c r="F45" s="328"/>
      <c r="G45" s="328"/>
      <c r="H45" s="328"/>
      <c r="I45" s="328"/>
      <c r="J45" s="328"/>
      <c r="K45" s="328"/>
      <c r="L45" s="328">
        <v>500</v>
      </c>
      <c r="M45" s="328">
        <f>SUM(B45:L45)</f>
        <v>500</v>
      </c>
      <c r="N45" s="328"/>
      <c r="O45" s="328"/>
      <c r="P45" s="328"/>
      <c r="Q45" s="328"/>
      <c r="R45" s="381">
        <f t="shared" ref="R45:R48" si="22">SUM(N45:Q45)</f>
        <v>0</v>
      </c>
    </row>
    <row r="46" spans="1:18" s="84" customFormat="1" outlineLevel="2" x14ac:dyDescent="0.25">
      <c r="A46" s="380"/>
      <c r="B46" s="328"/>
      <c r="C46" s="328"/>
      <c r="D46" s="328"/>
      <c r="E46" s="328"/>
      <c r="F46" s="328"/>
      <c r="G46" s="328"/>
      <c r="H46" s="328"/>
      <c r="I46" s="328"/>
      <c r="J46" s="328"/>
      <c r="K46" s="328"/>
      <c r="L46" s="328"/>
      <c r="M46" s="328">
        <f t="shared" ref="M46:M48" si="23">SUM(B46:L46)</f>
        <v>0</v>
      </c>
      <c r="N46" s="328"/>
      <c r="O46" s="328"/>
      <c r="P46" s="328"/>
      <c r="Q46" s="328"/>
      <c r="R46" s="381">
        <f t="shared" si="22"/>
        <v>0</v>
      </c>
    </row>
    <row r="47" spans="1:18" s="84" customFormat="1" outlineLevel="2" x14ac:dyDescent="0.25">
      <c r="A47" s="382"/>
      <c r="B47" s="316"/>
      <c r="C47" s="316"/>
      <c r="D47" s="316"/>
      <c r="E47" s="316"/>
      <c r="F47" s="316"/>
      <c r="G47" s="316"/>
      <c r="H47" s="316"/>
      <c r="I47" s="316"/>
      <c r="J47" s="316"/>
      <c r="K47" s="316"/>
      <c r="L47" s="316"/>
      <c r="M47" s="328">
        <f t="shared" si="23"/>
        <v>0</v>
      </c>
      <c r="N47" s="316"/>
      <c r="O47" s="316"/>
      <c r="P47" s="316"/>
      <c r="Q47" s="316"/>
      <c r="R47" s="383">
        <f t="shared" si="22"/>
        <v>0</v>
      </c>
    </row>
    <row r="48" spans="1:18" s="84" customFormat="1" ht="15.75" outlineLevel="2" thickBot="1" x14ac:dyDescent="0.3">
      <c r="A48" s="382" t="s">
        <v>684</v>
      </c>
      <c r="B48" s="316"/>
      <c r="C48" s="316">
        <v>200</v>
      </c>
      <c r="D48" s="316"/>
      <c r="E48" s="316"/>
      <c r="F48" s="316"/>
      <c r="G48" s="316"/>
      <c r="H48" s="316"/>
      <c r="I48" s="316"/>
      <c r="J48" s="316"/>
      <c r="K48" s="316"/>
      <c r="L48" s="316">
        <v>200</v>
      </c>
      <c r="M48" s="328">
        <f t="shared" si="23"/>
        <v>400</v>
      </c>
      <c r="N48" s="316"/>
      <c r="O48" s="316"/>
      <c r="P48" s="316"/>
      <c r="Q48" s="316"/>
      <c r="R48" s="383">
        <f t="shared" si="22"/>
        <v>0</v>
      </c>
    </row>
    <row r="49" spans="1:18" ht="15.75" outlineLevel="1" thickBot="1" x14ac:dyDescent="0.3">
      <c r="A49" s="55" t="s">
        <v>685</v>
      </c>
      <c r="B49" s="56">
        <f>SUBTOTAL(9,B44:B48)</f>
        <v>0</v>
      </c>
      <c r="C49" s="57">
        <f t="shared" ref="C49" si="24">SUBTOTAL(9,C44:C48)</f>
        <v>400</v>
      </c>
      <c r="D49" s="57">
        <f t="shared" ref="D49" si="25">SUBTOTAL(9,D44:D48)</f>
        <v>600</v>
      </c>
      <c r="E49" s="57">
        <f t="shared" ref="E49" si="26">SUBTOTAL(9,E44:E48)</f>
        <v>50</v>
      </c>
      <c r="F49" s="57">
        <f t="shared" ref="F49" si="27">SUBTOTAL(9,F44:F48)</f>
        <v>100</v>
      </c>
      <c r="G49" s="57">
        <f t="shared" ref="G49" si="28">SUBTOTAL(9,G44:G48)</f>
        <v>0</v>
      </c>
      <c r="H49" s="57">
        <f t="shared" ref="H49" si="29">SUBTOTAL(9,H44:H48)</f>
        <v>200</v>
      </c>
      <c r="I49" s="57">
        <f t="shared" ref="I49" si="30">SUBTOTAL(9,I44:I48)</f>
        <v>0</v>
      </c>
      <c r="J49" s="57">
        <f t="shared" ref="J49" si="31">SUBTOTAL(9,J44:J48)</f>
        <v>0</v>
      </c>
      <c r="K49" s="57">
        <f t="shared" ref="K49:L49" si="32">SUBTOTAL(9,K44:K48)</f>
        <v>0</v>
      </c>
      <c r="L49" s="57">
        <f t="shared" si="32"/>
        <v>700</v>
      </c>
      <c r="M49" s="57">
        <f>SUM(B49:L49)</f>
        <v>2050</v>
      </c>
      <c r="N49" s="58">
        <f t="shared" ref="N49" si="33">SUBTOTAL(9,N44:N48)</f>
        <v>0</v>
      </c>
      <c r="O49" s="58">
        <f t="shared" ref="O49" si="34">SUBTOTAL(9,O44:O48)</f>
        <v>0</v>
      </c>
      <c r="P49" s="58">
        <f t="shared" ref="P49" si="35">SUBTOTAL(9,P44:P48)</f>
        <v>0</v>
      </c>
      <c r="Q49" s="58">
        <f t="shared" ref="Q49" si="36">SUBTOTAL(9,Q44:Q48)</f>
        <v>0</v>
      </c>
      <c r="R49" s="59">
        <f t="shared" ref="R49" si="37">SUBTOTAL(9,R44:R48)</f>
        <v>0</v>
      </c>
    </row>
    <row r="50" spans="1:18" outlineLevel="1" x14ac:dyDescent="0.25">
      <c r="A50" s="36"/>
      <c r="B50" s="60"/>
      <c r="C50" s="60"/>
      <c r="D50" s="60"/>
      <c r="E50" s="60"/>
      <c r="F50" s="60"/>
      <c r="G50" s="60"/>
      <c r="H50" s="60"/>
      <c r="I50" s="60"/>
      <c r="J50" s="60"/>
      <c r="K50" s="60"/>
      <c r="L50" s="60"/>
      <c r="M50" s="60"/>
      <c r="N50" s="60"/>
      <c r="O50" s="60"/>
      <c r="P50" s="60"/>
      <c r="Q50" s="60"/>
      <c r="R50" s="61"/>
    </row>
    <row r="51" spans="1:18" ht="15.75" outlineLevel="1" thickBot="1" x14ac:dyDescent="0.3">
      <c r="A51" s="48" t="s">
        <v>710</v>
      </c>
      <c r="B51" s="52"/>
      <c r="C51" s="52"/>
      <c r="D51" s="52"/>
      <c r="E51" s="52"/>
      <c r="F51" s="52"/>
      <c r="G51" s="52"/>
      <c r="H51" s="52"/>
      <c r="I51" s="52"/>
      <c r="J51" s="52"/>
      <c r="K51" s="52"/>
      <c r="L51" s="52"/>
      <c r="M51" s="52"/>
      <c r="N51" s="53"/>
      <c r="O51" s="53"/>
      <c r="P51" s="53"/>
      <c r="Q51" s="53"/>
      <c r="R51" s="54"/>
    </row>
    <row r="52" spans="1:18" s="84" customFormat="1" ht="30" outlineLevel="2" x14ac:dyDescent="0.25">
      <c r="A52" s="376" t="s">
        <v>711</v>
      </c>
      <c r="B52" s="377"/>
      <c r="C52" s="377">
        <v>500</v>
      </c>
      <c r="D52" s="377"/>
      <c r="E52" s="377"/>
      <c r="F52" s="377"/>
      <c r="G52" s="377">
        <v>1000</v>
      </c>
      <c r="H52" s="377"/>
      <c r="I52" s="377"/>
      <c r="J52" s="377"/>
      <c r="K52" s="377"/>
      <c r="L52" s="377"/>
      <c r="M52" s="377">
        <f>SUM(B52:L52)</f>
        <v>1500</v>
      </c>
      <c r="N52" s="377"/>
      <c r="O52" s="377"/>
      <c r="P52" s="377"/>
      <c r="Q52" s="377"/>
      <c r="R52" s="379">
        <f>SUM(N52:Q52)</f>
        <v>0</v>
      </c>
    </row>
    <row r="53" spans="1:18" s="84" customFormat="1" ht="30" outlineLevel="2" x14ac:dyDescent="0.25">
      <c r="A53" s="380" t="s">
        <v>712</v>
      </c>
      <c r="B53" s="328"/>
      <c r="C53" s="328">
        <v>400</v>
      </c>
      <c r="D53" s="328">
        <v>500</v>
      </c>
      <c r="E53" s="328">
        <v>300</v>
      </c>
      <c r="F53" s="328">
        <v>100</v>
      </c>
      <c r="G53" s="328"/>
      <c r="H53" s="328">
        <v>200</v>
      </c>
      <c r="I53" s="328">
        <v>300</v>
      </c>
      <c r="J53" s="328"/>
      <c r="K53" s="328">
        <v>300</v>
      </c>
      <c r="L53" s="328"/>
      <c r="M53" s="328">
        <f>SUM(B53:L53)</f>
        <v>2100</v>
      </c>
      <c r="N53" s="328"/>
      <c r="O53" s="328">
        <v>400</v>
      </c>
      <c r="P53" s="328"/>
      <c r="Q53" s="328"/>
      <c r="R53" s="381">
        <f t="shared" ref="R53:R56" si="38">SUM(N53:Q53)</f>
        <v>400</v>
      </c>
    </row>
    <row r="54" spans="1:18" s="84" customFormat="1" ht="75" outlineLevel="2" x14ac:dyDescent="0.25">
      <c r="A54" s="380" t="s">
        <v>713</v>
      </c>
      <c r="B54" s="328"/>
      <c r="C54" s="328"/>
      <c r="D54" s="328">
        <v>200</v>
      </c>
      <c r="E54" s="328">
        <v>200</v>
      </c>
      <c r="F54" s="328">
        <v>2000</v>
      </c>
      <c r="G54" s="328">
        <v>2000</v>
      </c>
      <c r="H54" s="328">
        <v>100</v>
      </c>
      <c r="I54" s="328">
        <v>150</v>
      </c>
      <c r="J54" s="328">
        <v>200</v>
      </c>
      <c r="K54" s="328">
        <v>150</v>
      </c>
      <c r="L54" s="328"/>
      <c r="M54" s="328">
        <f t="shared" ref="M54:M56" si="39">SUM(B54:L54)</f>
        <v>5000</v>
      </c>
      <c r="N54" s="328"/>
      <c r="O54" s="328"/>
      <c r="P54" s="328"/>
      <c r="Q54" s="328">
        <v>1500</v>
      </c>
      <c r="R54" s="381">
        <f t="shared" si="38"/>
        <v>1500</v>
      </c>
    </row>
    <row r="55" spans="1:18" s="84" customFormat="1" outlineLevel="2" x14ac:dyDescent="0.25">
      <c r="A55" s="382" t="s">
        <v>714</v>
      </c>
      <c r="B55" s="316"/>
      <c r="C55" s="316"/>
      <c r="D55" s="316"/>
      <c r="E55" s="316"/>
      <c r="F55" s="316"/>
      <c r="G55" s="316"/>
      <c r="H55" s="316"/>
      <c r="I55" s="316"/>
      <c r="J55" s="316"/>
      <c r="K55" s="316">
        <v>150</v>
      </c>
      <c r="L55" s="316"/>
      <c r="M55" s="328">
        <f t="shared" si="39"/>
        <v>150</v>
      </c>
      <c r="N55" s="316"/>
      <c r="O55" s="316"/>
      <c r="P55" s="316"/>
      <c r="Q55" s="316"/>
      <c r="R55" s="383">
        <f t="shared" si="38"/>
        <v>0</v>
      </c>
    </row>
    <row r="56" spans="1:18" s="84" customFormat="1" ht="15.75" outlineLevel="2" thickBot="1" x14ac:dyDescent="0.3">
      <c r="A56" s="382" t="s">
        <v>684</v>
      </c>
      <c r="B56" s="316"/>
      <c r="C56" s="316"/>
      <c r="D56" s="316"/>
      <c r="E56" s="316"/>
      <c r="F56" s="316"/>
      <c r="G56" s="316"/>
      <c r="H56" s="316"/>
      <c r="I56" s="316"/>
      <c r="J56" s="316"/>
      <c r="K56" s="316"/>
      <c r="L56" s="316"/>
      <c r="M56" s="328">
        <f t="shared" si="39"/>
        <v>0</v>
      </c>
      <c r="N56" s="316"/>
      <c r="O56" s="316"/>
      <c r="P56" s="316"/>
      <c r="Q56" s="316"/>
      <c r="R56" s="383">
        <f t="shared" si="38"/>
        <v>0</v>
      </c>
    </row>
    <row r="57" spans="1:18" ht="15.75" outlineLevel="1" thickBot="1" x14ac:dyDescent="0.3">
      <c r="A57" s="55" t="s">
        <v>685</v>
      </c>
      <c r="B57" s="56">
        <f>SUBTOTAL(9,B52:B56)</f>
        <v>0</v>
      </c>
      <c r="C57" s="57">
        <f t="shared" ref="C57" si="40">SUBTOTAL(9,C52:C56)</f>
        <v>900</v>
      </c>
      <c r="D57" s="57">
        <f t="shared" ref="D57" si="41">SUBTOTAL(9,D52:D56)</f>
        <v>700</v>
      </c>
      <c r="E57" s="57">
        <f t="shared" ref="E57" si="42">SUBTOTAL(9,E52:E56)</f>
        <v>500</v>
      </c>
      <c r="F57" s="57">
        <f t="shared" ref="F57" si="43">SUBTOTAL(9,F52:F56)</f>
        <v>2100</v>
      </c>
      <c r="G57" s="57">
        <f t="shared" ref="G57" si="44">SUBTOTAL(9,G52:G56)</f>
        <v>3000</v>
      </c>
      <c r="H57" s="57">
        <f t="shared" ref="H57" si="45">SUBTOTAL(9,H52:H56)</f>
        <v>300</v>
      </c>
      <c r="I57" s="57">
        <f t="shared" ref="I57" si="46">SUBTOTAL(9,I52:I56)</f>
        <v>450</v>
      </c>
      <c r="J57" s="57">
        <f t="shared" ref="J57" si="47">SUBTOTAL(9,J52:J56)</f>
        <v>200</v>
      </c>
      <c r="K57" s="57">
        <f t="shared" ref="K57:L57" si="48">SUBTOTAL(9,K52:K56)</f>
        <v>600</v>
      </c>
      <c r="L57" s="57">
        <f t="shared" si="48"/>
        <v>0</v>
      </c>
      <c r="M57" s="57">
        <f>SUM(B57:L57)</f>
        <v>8750</v>
      </c>
      <c r="N57" s="58">
        <f t="shared" ref="N57" si="49">SUBTOTAL(9,N52:N56)</f>
        <v>0</v>
      </c>
      <c r="O57" s="58">
        <f t="shared" ref="O57" si="50">SUBTOTAL(9,O52:O56)</f>
        <v>400</v>
      </c>
      <c r="P57" s="58">
        <f t="shared" ref="P57" si="51">SUBTOTAL(9,P52:P56)</f>
        <v>0</v>
      </c>
      <c r="Q57" s="58">
        <f t="shared" ref="Q57" si="52">SUBTOTAL(9,Q52:Q56)</f>
        <v>1500</v>
      </c>
      <c r="R57" s="59">
        <f t="shared" ref="R57" si="53">SUBTOTAL(9,R52:R56)</f>
        <v>1900</v>
      </c>
    </row>
    <row r="58" spans="1:18" outlineLevel="1" x14ac:dyDescent="0.25">
      <c r="A58" s="36"/>
      <c r="B58" s="60"/>
      <c r="C58" s="60"/>
      <c r="D58" s="60"/>
      <c r="E58" s="60"/>
      <c r="F58" s="60"/>
      <c r="G58" s="60"/>
      <c r="H58" s="60"/>
      <c r="I58" s="60"/>
      <c r="J58" s="60"/>
      <c r="K58" s="60"/>
      <c r="L58" s="60"/>
      <c r="M58" s="60"/>
      <c r="N58" s="60"/>
      <c r="O58" s="60"/>
      <c r="P58" s="60"/>
      <c r="Q58" s="60"/>
      <c r="R58" s="61"/>
    </row>
    <row r="59" spans="1:18" ht="15.75" outlineLevel="1" thickBot="1" x14ac:dyDescent="0.3">
      <c r="A59" s="48" t="s">
        <v>715</v>
      </c>
      <c r="B59" s="52"/>
      <c r="C59" s="52"/>
      <c r="D59" s="52"/>
      <c r="E59" s="52"/>
      <c r="F59" s="52"/>
      <c r="G59" s="52"/>
      <c r="H59" s="52"/>
      <c r="I59" s="52"/>
      <c r="J59" s="52"/>
      <c r="K59" s="52"/>
      <c r="L59" s="52"/>
      <c r="M59" s="52"/>
      <c r="N59" s="53"/>
      <c r="O59" s="53"/>
      <c r="P59" s="53"/>
      <c r="Q59" s="53"/>
      <c r="R59" s="54"/>
    </row>
    <row r="60" spans="1:18" s="84" customFormat="1" outlineLevel="2" x14ac:dyDescent="0.25">
      <c r="A60" s="376"/>
      <c r="B60" s="377"/>
      <c r="C60" s="377"/>
      <c r="D60" s="377"/>
      <c r="E60" s="377"/>
      <c r="F60" s="377"/>
      <c r="G60" s="377"/>
      <c r="H60" s="377"/>
      <c r="I60" s="377"/>
      <c r="J60" s="377"/>
      <c r="K60" s="377"/>
      <c r="L60" s="377"/>
      <c r="M60" s="377">
        <f t="shared" ref="M60:M65" si="54">SUM(B60:K60)</f>
        <v>0</v>
      </c>
      <c r="N60" s="377"/>
      <c r="O60" s="377"/>
      <c r="P60" s="377"/>
      <c r="Q60" s="377"/>
      <c r="R60" s="379">
        <f>SUM(N60:Q60)</f>
        <v>0</v>
      </c>
    </row>
    <row r="61" spans="1:18" s="84" customFormat="1" outlineLevel="2" x14ac:dyDescent="0.25">
      <c r="A61" s="380"/>
      <c r="B61" s="328"/>
      <c r="C61" s="328"/>
      <c r="D61" s="328"/>
      <c r="E61" s="328"/>
      <c r="F61" s="328"/>
      <c r="G61" s="328"/>
      <c r="H61" s="328"/>
      <c r="I61" s="328"/>
      <c r="J61" s="328"/>
      <c r="K61" s="328"/>
      <c r="L61" s="328"/>
      <c r="M61" s="328">
        <f t="shared" si="54"/>
        <v>0</v>
      </c>
      <c r="N61" s="328"/>
      <c r="O61" s="328"/>
      <c r="P61" s="328"/>
      <c r="Q61" s="328"/>
      <c r="R61" s="381">
        <f t="shared" ref="R61:R64" si="55">SUM(N61:Q61)</f>
        <v>0</v>
      </c>
    </row>
    <row r="62" spans="1:18" s="84" customFormat="1" outlineLevel="2" x14ac:dyDescent="0.25">
      <c r="A62" s="380"/>
      <c r="B62" s="328"/>
      <c r="C62" s="328"/>
      <c r="D62" s="328"/>
      <c r="E62" s="328"/>
      <c r="F62" s="328"/>
      <c r="G62" s="328"/>
      <c r="H62" s="328"/>
      <c r="I62" s="328"/>
      <c r="J62" s="328"/>
      <c r="K62" s="328"/>
      <c r="L62" s="328"/>
      <c r="M62" s="328">
        <f t="shared" si="54"/>
        <v>0</v>
      </c>
      <c r="N62" s="328"/>
      <c r="O62" s="328"/>
      <c r="P62" s="328"/>
      <c r="Q62" s="328"/>
      <c r="R62" s="381">
        <f t="shared" si="55"/>
        <v>0</v>
      </c>
    </row>
    <row r="63" spans="1:18" s="84" customFormat="1" outlineLevel="2" x14ac:dyDescent="0.25">
      <c r="A63" s="382" t="s">
        <v>716</v>
      </c>
      <c r="B63" s="316"/>
      <c r="C63" s="316"/>
      <c r="D63" s="316"/>
      <c r="E63" s="316"/>
      <c r="F63" s="316"/>
      <c r="G63" s="316"/>
      <c r="H63" s="316"/>
      <c r="I63" s="316"/>
      <c r="J63" s="316"/>
      <c r="K63" s="316"/>
      <c r="L63" s="316"/>
      <c r="M63" s="316">
        <f t="shared" si="54"/>
        <v>0</v>
      </c>
      <c r="N63" s="316"/>
      <c r="O63" s="316"/>
      <c r="P63" s="316"/>
      <c r="Q63" s="316"/>
      <c r="R63" s="383">
        <f t="shared" si="55"/>
        <v>0</v>
      </c>
    </row>
    <row r="64" spans="1:18" s="84" customFormat="1" ht="15.75" outlineLevel="2" thickBot="1" x14ac:dyDescent="0.3">
      <c r="A64" s="382" t="s">
        <v>684</v>
      </c>
      <c r="B64" s="316"/>
      <c r="C64" s="316"/>
      <c r="D64" s="316"/>
      <c r="E64" s="316"/>
      <c r="F64" s="316"/>
      <c r="G64" s="316"/>
      <c r="H64" s="316"/>
      <c r="I64" s="316"/>
      <c r="J64" s="316"/>
      <c r="K64" s="316"/>
      <c r="L64" s="316"/>
      <c r="M64" s="316">
        <f t="shared" si="54"/>
        <v>0</v>
      </c>
      <c r="N64" s="316"/>
      <c r="O64" s="316"/>
      <c r="P64" s="316"/>
      <c r="Q64" s="316"/>
      <c r="R64" s="383">
        <f t="shared" si="55"/>
        <v>0</v>
      </c>
    </row>
    <row r="65" spans="1:18" ht="15.75" outlineLevel="1" thickBot="1" x14ac:dyDescent="0.3">
      <c r="A65" s="55" t="s">
        <v>685</v>
      </c>
      <c r="B65" s="56">
        <f>SUBTOTAL(9,B60:B64)</f>
        <v>0</v>
      </c>
      <c r="C65" s="57">
        <f t="shared" ref="C65" si="56">SUBTOTAL(9,C60:C64)</f>
        <v>0</v>
      </c>
      <c r="D65" s="57">
        <f t="shared" ref="D65" si="57">SUBTOTAL(9,D60:D64)</f>
        <v>0</v>
      </c>
      <c r="E65" s="57">
        <f t="shared" ref="E65" si="58">SUBTOTAL(9,E60:E64)</f>
        <v>0</v>
      </c>
      <c r="F65" s="57">
        <f t="shared" ref="F65" si="59">SUBTOTAL(9,F60:F64)</f>
        <v>0</v>
      </c>
      <c r="G65" s="57">
        <f t="shared" ref="G65" si="60">SUBTOTAL(9,G60:G64)</f>
        <v>0</v>
      </c>
      <c r="H65" s="57">
        <f t="shared" ref="H65" si="61">SUBTOTAL(9,H60:H64)</f>
        <v>0</v>
      </c>
      <c r="I65" s="57">
        <f t="shared" ref="I65" si="62">SUBTOTAL(9,I60:I64)</f>
        <v>0</v>
      </c>
      <c r="J65" s="57">
        <f t="shared" ref="J65" si="63">SUBTOTAL(9,J60:J64)</f>
        <v>0</v>
      </c>
      <c r="K65" s="57">
        <f t="shared" ref="K65:L65" si="64">SUBTOTAL(9,K60:K64)</f>
        <v>0</v>
      </c>
      <c r="L65" s="57">
        <f t="shared" si="64"/>
        <v>0</v>
      </c>
      <c r="M65" s="57">
        <f t="shared" si="54"/>
        <v>0</v>
      </c>
      <c r="N65" s="58">
        <f t="shared" ref="N65" si="65">SUBTOTAL(9,N60:N64)</f>
        <v>0</v>
      </c>
      <c r="O65" s="58">
        <f t="shared" ref="O65" si="66">SUBTOTAL(9,O60:O64)</f>
        <v>0</v>
      </c>
      <c r="P65" s="58">
        <f t="shared" ref="P65" si="67">SUBTOTAL(9,P60:P64)</f>
        <v>0</v>
      </c>
      <c r="Q65" s="58">
        <f t="shared" ref="Q65" si="68">SUBTOTAL(9,Q60:Q64)</f>
        <v>0</v>
      </c>
      <c r="R65" s="59">
        <f t="shared" ref="R65" si="69">SUBTOTAL(9,R60:R64)</f>
        <v>0</v>
      </c>
    </row>
    <row r="66" spans="1:18" outlineLevel="1" x14ac:dyDescent="0.25">
      <c r="A66" s="36"/>
      <c r="B66" s="60"/>
      <c r="C66" s="60"/>
      <c r="D66" s="60"/>
      <c r="E66" s="60"/>
      <c r="F66" s="60"/>
      <c r="G66" s="60"/>
      <c r="H66" s="60"/>
      <c r="I66" s="60"/>
      <c r="J66" s="60"/>
      <c r="K66" s="60"/>
      <c r="L66" s="60"/>
      <c r="M66" s="60"/>
      <c r="N66" s="60"/>
      <c r="O66" s="60"/>
      <c r="P66" s="60"/>
      <c r="Q66" s="60"/>
      <c r="R66" s="61"/>
    </row>
    <row r="67" spans="1:18" outlineLevel="1" x14ac:dyDescent="0.25">
      <c r="A67" s="48" t="s">
        <v>717</v>
      </c>
      <c r="B67" s="52"/>
      <c r="C67" s="52"/>
      <c r="D67" s="52"/>
      <c r="E67" s="52"/>
      <c r="F67" s="52"/>
      <c r="G67" s="52"/>
      <c r="H67" s="52"/>
      <c r="I67" s="52"/>
      <c r="J67" s="52"/>
      <c r="K67" s="52"/>
      <c r="L67" s="52"/>
      <c r="M67" s="52"/>
      <c r="N67" s="53"/>
      <c r="O67" s="53"/>
      <c r="P67" s="53"/>
      <c r="Q67" s="53"/>
      <c r="R67" s="54"/>
    </row>
    <row r="68" spans="1:18" s="84" customFormat="1" outlineLevel="2" x14ac:dyDescent="0.25">
      <c r="A68" s="380" t="s">
        <v>718</v>
      </c>
      <c r="B68" s="328"/>
      <c r="C68" s="328"/>
      <c r="D68" s="328">
        <v>500</v>
      </c>
      <c r="E68" s="328">
        <v>300</v>
      </c>
      <c r="F68" s="328">
        <v>50</v>
      </c>
      <c r="G68" s="328">
        <v>50</v>
      </c>
      <c r="H68" s="328">
        <v>200</v>
      </c>
      <c r="I68" s="328">
        <v>200</v>
      </c>
      <c r="J68" s="328">
        <v>50</v>
      </c>
      <c r="K68" s="328"/>
      <c r="L68" s="328"/>
      <c r="M68" s="328">
        <f>SUM(B68:L68)</f>
        <v>1350</v>
      </c>
      <c r="N68" s="328"/>
      <c r="O68" s="328"/>
      <c r="P68" s="328"/>
      <c r="Q68" s="328"/>
      <c r="R68" s="381">
        <f t="shared" ref="R68:R72" si="70">SUM(N68:Q68)</f>
        <v>0</v>
      </c>
    </row>
    <row r="69" spans="1:18" s="84" customFormat="1" outlineLevel="2" x14ac:dyDescent="0.25">
      <c r="A69" s="380" t="s">
        <v>719</v>
      </c>
      <c r="B69" s="328"/>
      <c r="C69" s="328"/>
      <c r="D69" s="328">
        <v>500</v>
      </c>
      <c r="E69" s="328"/>
      <c r="F69" s="328"/>
      <c r="G69" s="328">
        <v>50</v>
      </c>
      <c r="H69" s="328"/>
      <c r="I69" s="328"/>
      <c r="J69" s="328"/>
      <c r="K69" s="328"/>
      <c r="L69" s="328"/>
      <c r="M69" s="328">
        <f t="shared" ref="M69:M72" si="71">SUM(B69:L69)</f>
        <v>550</v>
      </c>
      <c r="N69" s="328"/>
      <c r="O69" s="328"/>
      <c r="P69" s="328"/>
      <c r="Q69" s="328"/>
      <c r="R69" s="381">
        <f>SUM(N69:Q69)</f>
        <v>0</v>
      </c>
    </row>
    <row r="70" spans="1:18" s="84" customFormat="1" outlineLevel="2" x14ac:dyDescent="0.25">
      <c r="A70" s="382" t="s">
        <v>720</v>
      </c>
      <c r="B70" s="316"/>
      <c r="C70" s="316">
        <v>500</v>
      </c>
      <c r="D70" s="316">
        <v>500</v>
      </c>
      <c r="E70" s="316">
        <v>500</v>
      </c>
      <c r="F70" s="316">
        <v>500</v>
      </c>
      <c r="G70" s="316">
        <v>3500</v>
      </c>
      <c r="H70" s="316">
        <v>500</v>
      </c>
      <c r="I70" s="316">
        <v>2000</v>
      </c>
      <c r="J70" s="316">
        <v>200</v>
      </c>
      <c r="K70" s="316">
        <v>200</v>
      </c>
      <c r="L70" s="316">
        <v>500</v>
      </c>
      <c r="M70" s="328">
        <f t="shared" si="71"/>
        <v>8900</v>
      </c>
      <c r="N70" s="316"/>
      <c r="O70" s="316">
        <v>3000</v>
      </c>
      <c r="P70" s="316"/>
      <c r="Q70" s="316">
        <v>1000</v>
      </c>
      <c r="R70" s="381">
        <f>SUM(N70:Q70)</f>
        <v>4000</v>
      </c>
    </row>
    <row r="71" spans="1:18" s="84" customFormat="1" outlineLevel="2" x14ac:dyDescent="0.25">
      <c r="A71" s="382" t="s">
        <v>721</v>
      </c>
      <c r="B71" s="316"/>
      <c r="C71" s="316">
        <v>200</v>
      </c>
      <c r="D71" s="316">
        <v>400</v>
      </c>
      <c r="E71" s="316">
        <v>100</v>
      </c>
      <c r="F71" s="316">
        <v>50</v>
      </c>
      <c r="G71" s="316">
        <v>50</v>
      </c>
      <c r="H71" s="316">
        <v>200</v>
      </c>
      <c r="I71" s="316">
        <v>50</v>
      </c>
      <c r="J71" s="316">
        <v>100</v>
      </c>
      <c r="K71" s="316">
        <v>200</v>
      </c>
      <c r="L71" s="316"/>
      <c r="M71" s="328">
        <f t="shared" si="71"/>
        <v>1350</v>
      </c>
      <c r="N71" s="316"/>
      <c r="O71" s="316"/>
      <c r="P71" s="316"/>
      <c r="Q71" s="316"/>
      <c r="R71" s="383">
        <f t="shared" si="70"/>
        <v>0</v>
      </c>
    </row>
    <row r="72" spans="1:18" s="84" customFormat="1" ht="15.75" outlineLevel="2" thickBot="1" x14ac:dyDescent="0.3">
      <c r="A72" s="382" t="s">
        <v>684</v>
      </c>
      <c r="B72" s="316">
        <v>0</v>
      </c>
      <c r="C72" s="316">
        <v>300</v>
      </c>
      <c r="D72" s="316"/>
      <c r="E72" s="316">
        <v>100</v>
      </c>
      <c r="F72" s="316">
        <v>50</v>
      </c>
      <c r="G72" s="316">
        <v>100</v>
      </c>
      <c r="H72" s="316"/>
      <c r="I72" s="316">
        <v>100</v>
      </c>
      <c r="J72" s="316">
        <v>50</v>
      </c>
      <c r="K72" s="316">
        <v>100</v>
      </c>
      <c r="L72" s="316"/>
      <c r="M72" s="328">
        <f t="shared" si="71"/>
        <v>800</v>
      </c>
      <c r="N72" s="316"/>
      <c r="O72" s="316">
        <v>500</v>
      </c>
      <c r="P72" s="316"/>
      <c r="Q72" s="316"/>
      <c r="R72" s="383">
        <f t="shared" si="70"/>
        <v>500</v>
      </c>
    </row>
    <row r="73" spans="1:18" ht="15.75" outlineLevel="1" thickBot="1" x14ac:dyDescent="0.3">
      <c r="A73" s="55" t="s">
        <v>685</v>
      </c>
      <c r="B73" s="56">
        <f t="shared" ref="B73:L73" si="72">SUBTOTAL(9,B68:B72)</f>
        <v>0</v>
      </c>
      <c r="C73" s="57">
        <f t="shared" si="72"/>
        <v>1000</v>
      </c>
      <c r="D73" s="57">
        <f t="shared" si="72"/>
        <v>1900</v>
      </c>
      <c r="E73" s="57">
        <f t="shared" si="72"/>
        <v>1000</v>
      </c>
      <c r="F73" s="57">
        <f t="shared" si="72"/>
        <v>650</v>
      </c>
      <c r="G73" s="57">
        <f t="shared" si="72"/>
        <v>3750</v>
      </c>
      <c r="H73" s="57">
        <f t="shared" si="72"/>
        <v>900</v>
      </c>
      <c r="I73" s="57">
        <f t="shared" si="72"/>
        <v>2350</v>
      </c>
      <c r="J73" s="57">
        <f t="shared" si="72"/>
        <v>400</v>
      </c>
      <c r="K73" s="57">
        <f t="shared" si="72"/>
        <v>500</v>
      </c>
      <c r="L73" s="57">
        <f t="shared" si="72"/>
        <v>500</v>
      </c>
      <c r="M73" s="57">
        <f>SUM(B73:L73)</f>
        <v>12950</v>
      </c>
      <c r="N73" s="58">
        <f>SUBTOTAL(9,N68:N72)</f>
        <v>0</v>
      </c>
      <c r="O73" s="58">
        <f>SUBTOTAL(9,O68:O72)</f>
        <v>3500</v>
      </c>
      <c r="P73" s="58">
        <f>SUBTOTAL(9,P68:P72)</f>
        <v>0</v>
      </c>
      <c r="Q73" s="58">
        <f>SUBTOTAL(9,Q68:Q72)</f>
        <v>1000</v>
      </c>
      <c r="R73" s="59">
        <f>SUBTOTAL(9,R68:R72)</f>
        <v>4500</v>
      </c>
    </row>
    <row r="74" spans="1:18" outlineLevel="1" x14ac:dyDescent="0.25">
      <c r="A74" s="36"/>
      <c r="B74" s="60"/>
      <c r="C74" s="60"/>
      <c r="D74" s="60"/>
      <c r="E74" s="60"/>
      <c r="F74" s="60"/>
      <c r="G74" s="60"/>
      <c r="H74" s="60"/>
      <c r="I74" s="60"/>
      <c r="J74" s="60"/>
      <c r="K74" s="60"/>
      <c r="L74" s="60"/>
      <c r="M74" s="60"/>
      <c r="N74" s="60"/>
      <c r="O74" s="60"/>
      <c r="P74" s="60"/>
      <c r="Q74" s="60"/>
      <c r="R74" s="61"/>
    </row>
    <row r="75" spans="1:18" ht="15.75" outlineLevel="1" thickBot="1" x14ac:dyDescent="0.3">
      <c r="A75" s="48" t="s">
        <v>722</v>
      </c>
      <c r="B75" s="52"/>
      <c r="C75" s="52"/>
      <c r="D75" s="52"/>
      <c r="E75" s="52"/>
      <c r="F75" s="52"/>
      <c r="G75" s="52"/>
      <c r="H75" s="52"/>
      <c r="I75" s="52"/>
      <c r="J75" s="52"/>
      <c r="K75" s="52"/>
      <c r="L75" s="52"/>
      <c r="M75" s="52"/>
      <c r="N75" s="53"/>
      <c r="O75" s="53"/>
      <c r="P75" s="53"/>
      <c r="Q75" s="53"/>
      <c r="R75" s="54"/>
    </row>
    <row r="76" spans="1:18" s="84" customFormat="1" outlineLevel="2" x14ac:dyDescent="0.25">
      <c r="A76" s="376" t="s">
        <v>723</v>
      </c>
      <c r="B76" s="377"/>
      <c r="C76" s="377"/>
      <c r="D76" s="377"/>
      <c r="E76" s="377"/>
      <c r="F76" s="377"/>
      <c r="G76" s="377"/>
      <c r="H76" s="377"/>
      <c r="I76" s="377"/>
      <c r="J76" s="377"/>
      <c r="K76" s="377">
        <v>500</v>
      </c>
      <c r="L76" s="377"/>
      <c r="M76" s="378">
        <f>SUM(B76:L76)</f>
        <v>500</v>
      </c>
      <c r="N76" s="377"/>
      <c r="O76" s="377"/>
      <c r="P76" s="377"/>
      <c r="Q76" s="377"/>
      <c r="R76" s="379">
        <f>SUM(N76:Q76)</f>
        <v>0</v>
      </c>
    </row>
    <row r="77" spans="1:18" s="84" customFormat="1" outlineLevel="2" x14ac:dyDescent="0.25">
      <c r="A77" s="380"/>
      <c r="B77" s="328"/>
      <c r="C77" s="328"/>
      <c r="D77" s="328"/>
      <c r="E77" s="328"/>
      <c r="F77" s="328"/>
      <c r="G77" s="328"/>
      <c r="H77" s="328"/>
      <c r="I77" s="328"/>
      <c r="J77" s="328"/>
      <c r="K77" s="328"/>
      <c r="L77" s="328"/>
      <c r="M77" s="328">
        <f t="shared" ref="M77:M80" si="73">SUM(B77:L77)</f>
        <v>0</v>
      </c>
      <c r="N77" s="328"/>
      <c r="O77" s="328"/>
      <c r="P77" s="328"/>
      <c r="Q77" s="328"/>
      <c r="R77" s="381">
        <f t="shared" ref="R77:R80" si="74">SUM(N77:Q77)</f>
        <v>0</v>
      </c>
    </row>
    <row r="78" spans="1:18" s="84" customFormat="1" outlineLevel="2" x14ac:dyDescent="0.25">
      <c r="A78" s="380"/>
      <c r="B78" s="328"/>
      <c r="C78" s="328"/>
      <c r="D78" s="328"/>
      <c r="E78" s="328"/>
      <c r="F78" s="328"/>
      <c r="G78" s="328"/>
      <c r="H78" s="328"/>
      <c r="I78" s="328"/>
      <c r="J78" s="328"/>
      <c r="K78" s="328"/>
      <c r="L78" s="328"/>
      <c r="M78" s="328">
        <f t="shared" si="73"/>
        <v>0</v>
      </c>
      <c r="N78" s="328"/>
      <c r="O78" s="328"/>
      <c r="P78" s="328"/>
      <c r="Q78" s="328"/>
      <c r="R78" s="381">
        <f t="shared" si="74"/>
        <v>0</v>
      </c>
    </row>
    <row r="79" spans="1:18" s="84" customFormat="1" outlineLevel="2" x14ac:dyDescent="0.25">
      <c r="A79" s="382"/>
      <c r="B79" s="316"/>
      <c r="C79" s="316"/>
      <c r="D79" s="316"/>
      <c r="E79" s="316"/>
      <c r="F79" s="316"/>
      <c r="G79" s="316"/>
      <c r="H79" s="316"/>
      <c r="I79" s="316"/>
      <c r="J79" s="316"/>
      <c r="K79" s="316"/>
      <c r="L79" s="316"/>
      <c r="M79" s="328">
        <f t="shared" si="73"/>
        <v>0</v>
      </c>
      <c r="N79" s="316"/>
      <c r="O79" s="316"/>
      <c r="P79" s="316"/>
      <c r="Q79" s="316"/>
      <c r="R79" s="383">
        <f t="shared" si="74"/>
        <v>0</v>
      </c>
    </row>
    <row r="80" spans="1:18" s="84" customFormat="1" ht="15.75" outlineLevel="2" thickBot="1" x14ac:dyDescent="0.3">
      <c r="A80" s="382" t="s">
        <v>684</v>
      </c>
      <c r="B80" s="316"/>
      <c r="C80" s="316"/>
      <c r="D80" s="316"/>
      <c r="E80" s="316"/>
      <c r="F80" s="316"/>
      <c r="G80" s="316"/>
      <c r="H80" s="316"/>
      <c r="I80" s="316"/>
      <c r="J80" s="316"/>
      <c r="K80" s="316">
        <v>100</v>
      </c>
      <c r="L80" s="316"/>
      <c r="M80" s="327">
        <f t="shared" si="73"/>
        <v>100</v>
      </c>
      <c r="N80" s="316"/>
      <c r="O80" s="316"/>
      <c r="P80" s="316"/>
      <c r="Q80" s="316"/>
      <c r="R80" s="383">
        <f t="shared" si="74"/>
        <v>0</v>
      </c>
    </row>
    <row r="81" spans="1:18" ht="15.75" outlineLevel="1" thickBot="1" x14ac:dyDescent="0.3">
      <c r="A81" s="55" t="s">
        <v>685</v>
      </c>
      <c r="B81" s="56">
        <f>SUBTOTAL(9,B76:B80)</f>
        <v>0</v>
      </c>
      <c r="C81" s="57">
        <f t="shared" ref="C81" si="75">SUBTOTAL(9,C76:C80)</f>
        <v>0</v>
      </c>
      <c r="D81" s="57">
        <f t="shared" ref="D81" si="76">SUBTOTAL(9,D76:D80)</f>
        <v>0</v>
      </c>
      <c r="E81" s="57">
        <f t="shared" ref="E81" si="77">SUBTOTAL(9,E76:E80)</f>
        <v>0</v>
      </c>
      <c r="F81" s="57">
        <f t="shared" ref="F81" si="78">SUBTOTAL(9,F76:F80)</f>
        <v>0</v>
      </c>
      <c r="G81" s="57">
        <f t="shared" ref="G81" si="79">SUBTOTAL(9,G76:G80)</f>
        <v>0</v>
      </c>
      <c r="H81" s="57">
        <f t="shared" ref="H81" si="80">SUBTOTAL(9,H76:H80)</f>
        <v>0</v>
      </c>
      <c r="I81" s="57">
        <f t="shared" ref="I81" si="81">SUBTOTAL(9,I76:I80)</f>
        <v>0</v>
      </c>
      <c r="J81" s="57">
        <f t="shared" ref="J81" si="82">SUBTOTAL(9,J76:J80)</f>
        <v>0</v>
      </c>
      <c r="K81" s="57">
        <f t="shared" ref="K81:L81" si="83">SUBTOTAL(9,K76:K80)</f>
        <v>600</v>
      </c>
      <c r="L81" s="57">
        <f t="shared" si="83"/>
        <v>0</v>
      </c>
      <c r="M81" s="57">
        <f>SUM(B81:L81)</f>
        <v>600</v>
      </c>
      <c r="N81" s="58">
        <f t="shared" ref="N81" si="84">SUBTOTAL(9,N76:N80)</f>
        <v>0</v>
      </c>
      <c r="O81" s="58">
        <f t="shared" ref="O81" si="85">SUBTOTAL(9,O76:O80)</f>
        <v>0</v>
      </c>
      <c r="P81" s="58">
        <f t="shared" ref="P81" si="86">SUBTOTAL(9,P76:P80)</f>
        <v>0</v>
      </c>
      <c r="Q81" s="58">
        <f t="shared" ref="Q81" si="87">SUBTOTAL(9,Q76:Q80)</f>
        <v>0</v>
      </c>
      <c r="R81" s="59">
        <f t="shared" ref="R81" si="88">SUBTOTAL(9,R76:R80)</f>
        <v>0</v>
      </c>
    </row>
    <row r="82" spans="1:18" outlineLevel="1" x14ac:dyDescent="0.25">
      <c r="A82" s="36"/>
      <c r="B82" s="60"/>
      <c r="C82" s="60"/>
      <c r="D82" s="60"/>
      <c r="E82" s="60"/>
      <c r="F82" s="60"/>
      <c r="G82" s="60"/>
      <c r="H82" s="60"/>
      <c r="I82" s="60"/>
      <c r="J82" s="60"/>
      <c r="K82" s="60"/>
      <c r="L82" s="60"/>
      <c r="M82" s="60"/>
      <c r="N82" s="60"/>
      <c r="O82" s="60"/>
      <c r="P82" s="60"/>
      <c r="Q82" s="60"/>
      <c r="R82" s="61"/>
    </row>
    <row r="83" spans="1:18" ht="15.75" outlineLevel="1" thickBot="1" x14ac:dyDescent="0.3">
      <c r="A83" s="48" t="s">
        <v>724</v>
      </c>
      <c r="B83" s="52"/>
      <c r="C83" s="52"/>
      <c r="D83" s="52"/>
      <c r="E83" s="52"/>
      <c r="F83" s="52"/>
      <c r="G83" s="52"/>
      <c r="H83" s="52"/>
      <c r="I83" s="52"/>
      <c r="J83" s="52"/>
      <c r="K83" s="52"/>
      <c r="L83" s="52"/>
      <c r="M83" s="52"/>
      <c r="N83" s="53"/>
      <c r="O83" s="53"/>
      <c r="P83" s="53"/>
      <c r="Q83" s="53"/>
      <c r="R83" s="54"/>
    </row>
    <row r="84" spans="1:18" s="84" customFormat="1" outlineLevel="2" x14ac:dyDescent="0.25">
      <c r="A84" s="376" t="s">
        <v>725</v>
      </c>
      <c r="B84" s="377"/>
      <c r="C84" s="377"/>
      <c r="D84" s="377"/>
      <c r="E84" s="377"/>
      <c r="F84" s="377"/>
      <c r="G84" s="377"/>
      <c r="H84" s="377"/>
      <c r="I84" s="377"/>
      <c r="J84" s="377"/>
      <c r="K84" s="377"/>
      <c r="L84" s="377">
        <v>2500</v>
      </c>
      <c r="M84" s="378">
        <f>SUM(B84:L84)</f>
        <v>2500</v>
      </c>
      <c r="N84" s="377"/>
      <c r="O84" s="377"/>
      <c r="P84" s="377"/>
      <c r="Q84" s="377"/>
      <c r="R84" s="379">
        <f>SUM(N84:Q84)</f>
        <v>0</v>
      </c>
    </row>
    <row r="85" spans="1:18" s="84" customFormat="1" outlineLevel="2" x14ac:dyDescent="0.25">
      <c r="A85" s="380"/>
      <c r="B85" s="328"/>
      <c r="C85" s="328"/>
      <c r="D85" s="328"/>
      <c r="E85" s="328"/>
      <c r="F85" s="328"/>
      <c r="G85" s="328"/>
      <c r="H85" s="328"/>
      <c r="I85" s="328"/>
      <c r="J85" s="328"/>
      <c r="K85" s="328"/>
      <c r="L85" s="328"/>
      <c r="M85" s="328">
        <f t="shared" ref="M85:M88" si="89">SUM(B85:L85)</f>
        <v>0</v>
      </c>
      <c r="N85" s="328"/>
      <c r="O85" s="328"/>
      <c r="P85" s="328"/>
      <c r="Q85" s="328"/>
      <c r="R85" s="381">
        <f t="shared" ref="R85:R88" si="90">SUM(N85:Q85)</f>
        <v>0</v>
      </c>
    </row>
    <row r="86" spans="1:18" s="84" customFormat="1" outlineLevel="2" x14ac:dyDescent="0.25">
      <c r="A86" s="380"/>
      <c r="B86" s="328"/>
      <c r="C86" s="328"/>
      <c r="D86" s="328"/>
      <c r="E86" s="328"/>
      <c r="F86" s="328"/>
      <c r="G86" s="328"/>
      <c r="H86" s="328"/>
      <c r="I86" s="328"/>
      <c r="J86" s="328"/>
      <c r="K86" s="328"/>
      <c r="L86" s="328"/>
      <c r="M86" s="328">
        <f t="shared" si="89"/>
        <v>0</v>
      </c>
      <c r="N86" s="328"/>
      <c r="O86" s="328"/>
      <c r="P86" s="328"/>
      <c r="Q86" s="328"/>
      <c r="R86" s="381">
        <f t="shared" si="90"/>
        <v>0</v>
      </c>
    </row>
    <row r="87" spans="1:18" s="84" customFormat="1" outlineLevel="2" x14ac:dyDescent="0.25">
      <c r="A87" s="382"/>
      <c r="B87" s="316"/>
      <c r="C87" s="316"/>
      <c r="D87" s="316"/>
      <c r="E87" s="316"/>
      <c r="F87" s="316"/>
      <c r="G87" s="316"/>
      <c r="H87" s="316"/>
      <c r="I87" s="316"/>
      <c r="J87" s="316"/>
      <c r="K87" s="316"/>
      <c r="L87" s="316"/>
      <c r="M87" s="328">
        <f t="shared" si="89"/>
        <v>0</v>
      </c>
      <c r="N87" s="316"/>
      <c r="O87" s="316"/>
      <c r="P87" s="316"/>
      <c r="Q87" s="316"/>
      <c r="R87" s="383">
        <f t="shared" si="90"/>
        <v>0</v>
      </c>
    </row>
    <row r="88" spans="1:18" s="84" customFormat="1" ht="15.75" outlineLevel="2" thickBot="1" x14ac:dyDescent="0.3">
      <c r="A88" s="382" t="s">
        <v>684</v>
      </c>
      <c r="B88" s="316"/>
      <c r="C88" s="316"/>
      <c r="D88" s="316"/>
      <c r="E88" s="316"/>
      <c r="F88" s="316"/>
      <c r="G88" s="316"/>
      <c r="H88" s="316"/>
      <c r="I88" s="316"/>
      <c r="J88" s="316"/>
      <c r="K88" s="316"/>
      <c r="L88" s="316"/>
      <c r="M88" s="327">
        <f t="shared" si="89"/>
        <v>0</v>
      </c>
      <c r="N88" s="316"/>
      <c r="O88" s="316"/>
      <c r="P88" s="316"/>
      <c r="Q88" s="316"/>
      <c r="R88" s="383">
        <f t="shared" si="90"/>
        <v>0</v>
      </c>
    </row>
    <row r="89" spans="1:18" ht="15.75" outlineLevel="1" thickBot="1" x14ac:dyDescent="0.3">
      <c r="A89" s="55" t="s">
        <v>685</v>
      </c>
      <c r="B89" s="56">
        <f>SUBTOTAL(9,B84:B88)</f>
        <v>0</v>
      </c>
      <c r="C89" s="57">
        <f t="shared" ref="C89" si="91">SUBTOTAL(9,C84:C88)</f>
        <v>0</v>
      </c>
      <c r="D89" s="57">
        <f t="shared" ref="D89" si="92">SUBTOTAL(9,D84:D88)</f>
        <v>0</v>
      </c>
      <c r="E89" s="57">
        <f t="shared" ref="E89" si="93">SUBTOTAL(9,E84:E88)</f>
        <v>0</v>
      </c>
      <c r="F89" s="57">
        <f t="shared" ref="F89" si="94">SUBTOTAL(9,F84:F88)</f>
        <v>0</v>
      </c>
      <c r="G89" s="57">
        <f t="shared" ref="G89" si="95">SUBTOTAL(9,G84:G88)</f>
        <v>0</v>
      </c>
      <c r="H89" s="57">
        <f t="shared" ref="H89" si="96">SUBTOTAL(9,H84:H88)</f>
        <v>0</v>
      </c>
      <c r="I89" s="57">
        <f t="shared" ref="I89" si="97">SUBTOTAL(9,I84:I88)</f>
        <v>0</v>
      </c>
      <c r="J89" s="57">
        <f t="shared" ref="J89" si="98">SUBTOTAL(9,J84:J88)</f>
        <v>0</v>
      </c>
      <c r="K89" s="57">
        <f t="shared" ref="K89:L89" si="99">SUBTOTAL(9,K84:K88)</f>
        <v>0</v>
      </c>
      <c r="L89" s="57">
        <f t="shared" si="99"/>
        <v>2500</v>
      </c>
      <c r="M89" s="57">
        <f>SUM(B89:L89)</f>
        <v>2500</v>
      </c>
      <c r="N89" s="58">
        <f t="shared" ref="N89" si="100">SUBTOTAL(9,N84:N88)</f>
        <v>0</v>
      </c>
      <c r="O89" s="58">
        <f t="shared" ref="O89" si="101">SUBTOTAL(9,O84:O88)</f>
        <v>0</v>
      </c>
      <c r="P89" s="58">
        <f t="shared" ref="P89" si="102">SUBTOTAL(9,P84:P88)</f>
        <v>0</v>
      </c>
      <c r="Q89" s="58">
        <f t="shared" ref="Q89" si="103">SUBTOTAL(9,Q84:Q88)</f>
        <v>0</v>
      </c>
      <c r="R89" s="59">
        <f t="shared" ref="R89" si="104">SUBTOTAL(9,R84:R88)</f>
        <v>0</v>
      </c>
    </row>
    <row r="90" spans="1:18" outlineLevel="1" x14ac:dyDescent="0.25">
      <c r="A90" s="36"/>
      <c r="B90" s="60"/>
      <c r="C90" s="60"/>
      <c r="D90" s="60"/>
      <c r="E90" s="60"/>
      <c r="F90" s="60"/>
      <c r="G90" s="60"/>
      <c r="H90" s="60"/>
      <c r="I90" s="60"/>
      <c r="J90" s="60"/>
      <c r="K90" s="60"/>
      <c r="L90" s="60"/>
      <c r="M90" s="60"/>
      <c r="N90" s="60"/>
      <c r="O90" s="60"/>
      <c r="P90" s="60"/>
      <c r="Q90" s="60"/>
      <c r="R90" s="61"/>
    </row>
    <row r="91" spans="1:18" ht="15.75" outlineLevel="1" thickBot="1" x14ac:dyDescent="0.3">
      <c r="A91" s="48" t="s">
        <v>726</v>
      </c>
      <c r="B91" s="52"/>
      <c r="C91" s="52"/>
      <c r="D91" s="52"/>
      <c r="E91" s="52"/>
      <c r="F91" s="52"/>
      <c r="G91" s="52"/>
      <c r="H91" s="52"/>
      <c r="I91" s="52"/>
      <c r="J91" s="52"/>
      <c r="K91" s="52"/>
      <c r="L91" s="52"/>
      <c r="M91" s="52"/>
      <c r="N91" s="53"/>
      <c r="O91" s="53"/>
      <c r="P91" s="53"/>
      <c r="Q91" s="53"/>
      <c r="R91" s="54"/>
    </row>
    <row r="92" spans="1:18" s="84" customFormat="1" ht="30" outlineLevel="2" x14ac:dyDescent="0.25">
      <c r="A92" s="376" t="s">
        <v>727</v>
      </c>
      <c r="B92" s="377"/>
      <c r="C92" s="377"/>
      <c r="D92" s="377"/>
      <c r="E92" s="377"/>
      <c r="F92" s="377"/>
      <c r="G92" s="377"/>
      <c r="H92" s="377"/>
      <c r="I92" s="377"/>
      <c r="J92" s="377">
        <v>500</v>
      </c>
      <c r="K92" s="377">
        <v>200</v>
      </c>
      <c r="L92" s="377"/>
      <c r="M92" s="378">
        <f>SUM(B92:L92)</f>
        <v>700</v>
      </c>
      <c r="N92" s="377"/>
      <c r="O92" s="377"/>
      <c r="P92" s="377"/>
      <c r="Q92" s="377"/>
      <c r="R92" s="379">
        <f>SUM(N92:Q92)</f>
        <v>0</v>
      </c>
    </row>
    <row r="93" spans="1:18" s="84" customFormat="1" outlineLevel="2" x14ac:dyDescent="0.25">
      <c r="A93" s="380" t="s">
        <v>728</v>
      </c>
      <c r="B93" s="328"/>
      <c r="C93" s="328"/>
      <c r="D93" s="328"/>
      <c r="E93" s="328"/>
      <c r="F93" s="328"/>
      <c r="G93" s="328"/>
      <c r="H93" s="328"/>
      <c r="I93" s="328"/>
      <c r="J93" s="328"/>
      <c r="K93" s="328"/>
      <c r="L93" s="328"/>
      <c r="M93" s="328">
        <f t="shared" ref="M93:M96" si="105">SUM(B93:L93)</f>
        <v>0</v>
      </c>
      <c r="N93" s="328"/>
      <c r="O93" s="328"/>
      <c r="P93" s="328"/>
      <c r="Q93" s="328"/>
      <c r="R93" s="381">
        <f t="shared" ref="R93:R96" si="106">SUM(N93:Q93)</f>
        <v>0</v>
      </c>
    </row>
    <row r="94" spans="1:18" s="84" customFormat="1" outlineLevel="2" x14ac:dyDescent="0.25">
      <c r="A94" s="380"/>
      <c r="B94" s="328"/>
      <c r="C94" s="328"/>
      <c r="D94" s="328"/>
      <c r="E94" s="328"/>
      <c r="F94" s="328"/>
      <c r="G94" s="328"/>
      <c r="H94" s="328"/>
      <c r="I94" s="328"/>
      <c r="J94" s="328"/>
      <c r="K94" s="328"/>
      <c r="L94" s="328"/>
      <c r="M94" s="328">
        <f t="shared" si="105"/>
        <v>0</v>
      </c>
      <c r="N94" s="328"/>
      <c r="O94" s="328"/>
      <c r="P94" s="328"/>
      <c r="Q94" s="328"/>
      <c r="R94" s="381">
        <f t="shared" si="106"/>
        <v>0</v>
      </c>
    </row>
    <row r="95" spans="1:18" s="84" customFormat="1" outlineLevel="2" x14ac:dyDescent="0.25">
      <c r="A95" s="382"/>
      <c r="B95" s="316"/>
      <c r="C95" s="316"/>
      <c r="D95" s="316"/>
      <c r="E95" s="316"/>
      <c r="F95" s="316"/>
      <c r="G95" s="316"/>
      <c r="H95" s="316"/>
      <c r="I95" s="316"/>
      <c r="J95" s="316"/>
      <c r="K95" s="316"/>
      <c r="L95" s="316"/>
      <c r="M95" s="328">
        <f t="shared" si="105"/>
        <v>0</v>
      </c>
      <c r="N95" s="316"/>
      <c r="O95" s="316"/>
      <c r="P95" s="316"/>
      <c r="Q95" s="316"/>
      <c r="R95" s="383">
        <f t="shared" si="106"/>
        <v>0</v>
      </c>
    </row>
    <row r="96" spans="1:18" s="84" customFormat="1" ht="15.75" outlineLevel="2" thickBot="1" x14ac:dyDescent="0.3">
      <c r="A96" s="382" t="s">
        <v>684</v>
      </c>
      <c r="B96" s="316"/>
      <c r="C96" s="316"/>
      <c r="D96" s="316"/>
      <c r="E96" s="316"/>
      <c r="F96" s="316"/>
      <c r="G96" s="316"/>
      <c r="H96" s="316"/>
      <c r="I96" s="316"/>
      <c r="J96" s="316"/>
      <c r="K96" s="316">
        <v>100</v>
      </c>
      <c r="L96" s="316">
        <v>300</v>
      </c>
      <c r="M96" s="327">
        <f t="shared" si="105"/>
        <v>400</v>
      </c>
      <c r="N96" s="316"/>
      <c r="O96" s="316"/>
      <c r="P96" s="316"/>
      <c r="Q96" s="316"/>
      <c r="R96" s="383">
        <f t="shared" si="106"/>
        <v>0</v>
      </c>
    </row>
    <row r="97" spans="1:18" ht="15.75" outlineLevel="1" thickBot="1" x14ac:dyDescent="0.3">
      <c r="A97" s="55" t="s">
        <v>685</v>
      </c>
      <c r="B97" s="56">
        <f>SUBTOTAL(9,B92:B96)</f>
        <v>0</v>
      </c>
      <c r="C97" s="57">
        <f t="shared" ref="C97" si="107">SUBTOTAL(9,C92:C96)</f>
        <v>0</v>
      </c>
      <c r="D97" s="57">
        <f t="shared" ref="D97" si="108">SUBTOTAL(9,D92:D96)</f>
        <v>0</v>
      </c>
      <c r="E97" s="57">
        <f t="shared" ref="E97" si="109">SUBTOTAL(9,E92:E96)</f>
        <v>0</v>
      </c>
      <c r="F97" s="57">
        <f t="shared" ref="F97" si="110">SUBTOTAL(9,F92:F96)</f>
        <v>0</v>
      </c>
      <c r="G97" s="57">
        <f t="shared" ref="G97" si="111">SUBTOTAL(9,G92:G96)</f>
        <v>0</v>
      </c>
      <c r="H97" s="57">
        <f t="shared" ref="H97" si="112">SUBTOTAL(9,H92:H96)</f>
        <v>0</v>
      </c>
      <c r="I97" s="57">
        <f t="shared" ref="I97" si="113">SUBTOTAL(9,I92:I96)</f>
        <v>0</v>
      </c>
      <c r="J97" s="57">
        <f t="shared" ref="J97" si="114">SUBTOTAL(9,J92:J96)</f>
        <v>500</v>
      </c>
      <c r="K97" s="57">
        <f t="shared" ref="K97:L97" si="115">SUBTOTAL(9,K92:K96)</f>
        <v>300</v>
      </c>
      <c r="L97" s="57">
        <f t="shared" si="115"/>
        <v>300</v>
      </c>
      <c r="M97" s="57">
        <f>SUM(B97:L97)</f>
        <v>1100</v>
      </c>
      <c r="N97" s="58">
        <f t="shared" ref="N97" si="116">SUBTOTAL(9,N92:N96)</f>
        <v>0</v>
      </c>
      <c r="O97" s="58">
        <f t="shared" ref="O97" si="117">SUBTOTAL(9,O92:O96)</f>
        <v>0</v>
      </c>
      <c r="P97" s="58">
        <f t="shared" ref="P97" si="118">SUBTOTAL(9,P92:P96)</f>
        <v>0</v>
      </c>
      <c r="Q97" s="58">
        <f t="shared" ref="Q97" si="119">SUBTOTAL(9,Q92:Q96)</f>
        <v>0</v>
      </c>
      <c r="R97" s="59">
        <f t="shared" ref="R97" si="120">SUBTOTAL(9,R92:R96)</f>
        <v>0</v>
      </c>
    </row>
    <row r="98" spans="1:18" outlineLevel="1" x14ac:dyDescent="0.25">
      <c r="A98" s="36"/>
      <c r="B98" s="60"/>
      <c r="C98" s="60"/>
      <c r="D98" s="60"/>
      <c r="E98" s="60"/>
      <c r="F98" s="60"/>
      <c r="G98" s="60"/>
      <c r="H98" s="60"/>
      <c r="I98" s="60"/>
      <c r="J98" s="60"/>
      <c r="K98" s="60"/>
      <c r="L98" s="60"/>
      <c r="M98" s="60"/>
      <c r="N98" s="60"/>
      <c r="O98" s="60"/>
      <c r="P98" s="60"/>
      <c r="Q98" s="60"/>
      <c r="R98" s="61"/>
    </row>
    <row r="99" spans="1:18" ht="15.75" outlineLevel="1" thickBot="1" x14ac:dyDescent="0.3">
      <c r="A99" s="48" t="s">
        <v>729</v>
      </c>
      <c r="B99" s="52"/>
      <c r="C99" s="52"/>
      <c r="D99" s="52"/>
      <c r="E99" s="52"/>
      <c r="F99" s="52"/>
      <c r="G99" s="52"/>
      <c r="H99" s="52"/>
      <c r="I99" s="52"/>
      <c r="J99" s="52"/>
      <c r="K99" s="52"/>
      <c r="L99" s="52"/>
      <c r="M99" s="52"/>
      <c r="N99" s="53"/>
      <c r="O99" s="53"/>
      <c r="P99" s="53"/>
      <c r="Q99" s="53"/>
      <c r="R99" s="54"/>
    </row>
    <row r="100" spans="1:18" s="84" customFormat="1" outlineLevel="2" x14ac:dyDescent="0.25">
      <c r="A100" s="376" t="s">
        <v>730</v>
      </c>
      <c r="B100" s="377"/>
      <c r="C100" s="377"/>
      <c r="D100" s="377"/>
      <c r="E100" s="377"/>
      <c r="F100" s="377">
        <v>0</v>
      </c>
      <c r="G100" s="377">
        <v>500</v>
      </c>
      <c r="H100" s="377"/>
      <c r="I100" s="377"/>
      <c r="J100" s="377"/>
      <c r="K100" s="377"/>
      <c r="L100" s="377"/>
      <c r="M100" s="378">
        <f>SUM(B100:L100)</f>
        <v>500</v>
      </c>
      <c r="N100" s="377"/>
      <c r="O100" s="377"/>
      <c r="P100" s="377"/>
      <c r="Q100" s="377"/>
      <c r="R100" s="379">
        <f>SUM(N100:Q100)</f>
        <v>0</v>
      </c>
    </row>
    <row r="101" spans="1:18" s="84" customFormat="1" ht="30" outlineLevel="2" x14ac:dyDescent="0.25">
      <c r="A101" s="380" t="s">
        <v>731</v>
      </c>
      <c r="B101" s="328"/>
      <c r="C101" s="328"/>
      <c r="D101" s="328"/>
      <c r="E101" s="328"/>
      <c r="F101" s="328"/>
      <c r="G101" s="328">
        <v>500</v>
      </c>
      <c r="H101" s="328"/>
      <c r="I101" s="328"/>
      <c r="J101" s="328">
        <v>100</v>
      </c>
      <c r="K101" s="328"/>
      <c r="L101" s="328"/>
      <c r="M101" s="328">
        <f t="shared" ref="M101:M104" si="121">SUM(B101:L101)</f>
        <v>600</v>
      </c>
      <c r="N101" s="328"/>
      <c r="O101" s="328"/>
      <c r="P101" s="328"/>
      <c r="Q101" s="328"/>
      <c r="R101" s="381">
        <f t="shared" ref="R101:R104" si="122">SUM(N101:Q101)</f>
        <v>0</v>
      </c>
    </row>
    <row r="102" spans="1:18" s="84" customFormat="1" outlineLevel="2" x14ac:dyDescent="0.25">
      <c r="A102" s="380" t="s">
        <v>732</v>
      </c>
      <c r="B102" s="328"/>
      <c r="C102" s="328"/>
      <c r="D102" s="328"/>
      <c r="E102" s="328"/>
      <c r="F102" s="328"/>
      <c r="G102" s="328">
        <v>750</v>
      </c>
      <c r="H102" s="328"/>
      <c r="I102" s="328"/>
      <c r="J102" s="328">
        <v>750</v>
      </c>
      <c r="K102" s="328"/>
      <c r="L102" s="328"/>
      <c r="M102" s="328">
        <f t="shared" si="121"/>
        <v>1500</v>
      </c>
      <c r="N102" s="328"/>
      <c r="O102" s="328"/>
      <c r="P102" s="328"/>
      <c r="Q102" s="328"/>
      <c r="R102" s="381">
        <f t="shared" si="122"/>
        <v>0</v>
      </c>
    </row>
    <row r="103" spans="1:18" s="84" customFormat="1" outlineLevel="2" x14ac:dyDescent="0.25">
      <c r="A103" s="382"/>
      <c r="B103" s="316"/>
      <c r="C103" s="316"/>
      <c r="D103" s="316"/>
      <c r="E103" s="316"/>
      <c r="F103" s="316"/>
      <c r="G103" s="316"/>
      <c r="H103" s="316"/>
      <c r="I103" s="316"/>
      <c r="J103" s="316"/>
      <c r="K103" s="316"/>
      <c r="L103" s="316"/>
      <c r="M103" s="328">
        <f t="shared" si="121"/>
        <v>0</v>
      </c>
      <c r="N103" s="316"/>
      <c r="O103" s="316"/>
      <c r="P103" s="316"/>
      <c r="Q103" s="316"/>
      <c r="R103" s="383">
        <f t="shared" si="122"/>
        <v>0</v>
      </c>
    </row>
    <row r="104" spans="1:18" s="84" customFormat="1" ht="15.75" outlineLevel="2" thickBot="1" x14ac:dyDescent="0.3">
      <c r="A104" s="382" t="s">
        <v>684</v>
      </c>
      <c r="B104" s="316"/>
      <c r="C104" s="316"/>
      <c r="D104" s="316"/>
      <c r="E104" s="316"/>
      <c r="F104" s="316"/>
      <c r="G104" s="316">
        <v>500</v>
      </c>
      <c r="H104" s="316"/>
      <c r="I104" s="316"/>
      <c r="J104" s="316"/>
      <c r="K104" s="316">
        <v>500</v>
      </c>
      <c r="L104" s="316"/>
      <c r="M104" s="327">
        <f t="shared" si="121"/>
        <v>1000</v>
      </c>
      <c r="N104" s="316"/>
      <c r="O104" s="316"/>
      <c r="P104" s="316"/>
      <c r="Q104" s="316"/>
      <c r="R104" s="383">
        <f t="shared" si="122"/>
        <v>0</v>
      </c>
    </row>
    <row r="105" spans="1:18" ht="15.75" outlineLevel="1" thickBot="1" x14ac:dyDescent="0.3">
      <c r="A105" s="55" t="s">
        <v>685</v>
      </c>
      <c r="B105" s="56">
        <f>SUBTOTAL(9,B100:B104)</f>
        <v>0</v>
      </c>
      <c r="C105" s="57">
        <f t="shared" ref="C105" si="123">SUBTOTAL(9,C100:C104)</f>
        <v>0</v>
      </c>
      <c r="D105" s="57">
        <f t="shared" ref="D105" si="124">SUBTOTAL(9,D100:D104)</f>
        <v>0</v>
      </c>
      <c r="E105" s="57">
        <f t="shared" ref="E105" si="125">SUBTOTAL(9,E100:E104)</f>
        <v>0</v>
      </c>
      <c r="F105" s="57">
        <f t="shared" ref="F105" si="126">SUBTOTAL(9,F100:F104)</f>
        <v>0</v>
      </c>
      <c r="G105" s="57">
        <f t="shared" ref="G105" si="127">SUBTOTAL(9,G100:G104)</f>
        <v>2250</v>
      </c>
      <c r="H105" s="57">
        <f t="shared" ref="H105" si="128">SUBTOTAL(9,H100:H104)</f>
        <v>0</v>
      </c>
      <c r="I105" s="57">
        <f t="shared" ref="I105" si="129">SUBTOTAL(9,I100:I104)</f>
        <v>0</v>
      </c>
      <c r="J105" s="57">
        <f t="shared" ref="J105" si="130">SUBTOTAL(9,J100:J104)</f>
        <v>850</v>
      </c>
      <c r="K105" s="57">
        <f t="shared" ref="K105:L105" si="131">SUBTOTAL(9,K100:K104)</f>
        <v>500</v>
      </c>
      <c r="L105" s="57">
        <f t="shared" si="131"/>
        <v>0</v>
      </c>
      <c r="M105" s="57">
        <f>SUM(B105:L105)</f>
        <v>3600</v>
      </c>
      <c r="N105" s="58">
        <f t="shared" ref="N105" si="132">SUBTOTAL(9,N100:N104)</f>
        <v>0</v>
      </c>
      <c r="O105" s="58">
        <f t="shared" ref="O105" si="133">SUBTOTAL(9,O100:O104)</f>
        <v>0</v>
      </c>
      <c r="P105" s="58">
        <f t="shared" ref="P105" si="134">SUBTOTAL(9,P100:P104)</f>
        <v>0</v>
      </c>
      <c r="Q105" s="58">
        <f t="shared" ref="Q105" si="135">SUBTOTAL(9,Q100:Q104)</f>
        <v>0</v>
      </c>
      <c r="R105" s="59">
        <f t="shared" ref="R105" si="136">SUBTOTAL(9,R100:R104)</f>
        <v>0</v>
      </c>
    </row>
    <row r="106" spans="1:18" outlineLevel="1" x14ac:dyDescent="0.25">
      <c r="A106" s="36"/>
      <c r="B106" s="60"/>
      <c r="C106" s="60"/>
      <c r="D106" s="60"/>
      <c r="E106" s="60"/>
      <c r="F106" s="60"/>
      <c r="G106" s="60"/>
      <c r="H106" s="60"/>
      <c r="I106" s="60"/>
      <c r="J106" s="60"/>
      <c r="K106" s="60"/>
      <c r="L106" s="60"/>
      <c r="M106" s="60"/>
      <c r="N106" s="60"/>
      <c r="O106" s="60"/>
      <c r="P106" s="60"/>
      <c r="Q106" s="60"/>
      <c r="R106" s="61"/>
    </row>
    <row r="107" spans="1:18" ht="15.75" outlineLevel="1" thickBot="1" x14ac:dyDescent="0.3">
      <c r="A107" s="48" t="s">
        <v>733</v>
      </c>
      <c r="B107" s="52"/>
      <c r="C107" s="52"/>
      <c r="D107" s="52"/>
      <c r="E107" s="52"/>
      <c r="F107" s="52"/>
      <c r="G107" s="52"/>
      <c r="H107" s="52"/>
      <c r="I107" s="52"/>
      <c r="J107" s="52"/>
      <c r="K107" s="52"/>
      <c r="L107" s="52"/>
      <c r="M107" s="52"/>
      <c r="N107" s="53"/>
      <c r="O107" s="53"/>
      <c r="P107" s="53"/>
      <c r="Q107" s="53"/>
      <c r="R107" s="54"/>
    </row>
    <row r="108" spans="1:18" s="84" customFormat="1" outlineLevel="2" x14ac:dyDescent="0.25">
      <c r="A108" s="376" t="s">
        <v>734</v>
      </c>
      <c r="B108" s="377">
        <v>800</v>
      </c>
      <c r="C108" s="377">
        <v>400</v>
      </c>
      <c r="D108" s="377"/>
      <c r="E108" s="377">
        <v>300</v>
      </c>
      <c r="F108" s="377"/>
      <c r="G108" s="377"/>
      <c r="H108" s="377"/>
      <c r="I108" s="377">
        <v>100</v>
      </c>
      <c r="J108" s="377"/>
      <c r="K108" s="377"/>
      <c r="L108" s="377"/>
      <c r="M108" s="378">
        <f>SUM(B108:L108)</f>
        <v>1600</v>
      </c>
      <c r="N108" s="377">
        <v>800</v>
      </c>
      <c r="O108" s="377"/>
      <c r="P108" s="377"/>
      <c r="Q108" s="377"/>
      <c r="R108" s="379">
        <f>SUM(N108:Q108)</f>
        <v>800</v>
      </c>
    </row>
    <row r="109" spans="1:18" s="84" customFormat="1" outlineLevel="2" x14ac:dyDescent="0.25">
      <c r="A109" s="380" t="s">
        <v>735</v>
      </c>
      <c r="B109" s="328"/>
      <c r="C109" s="328"/>
      <c r="D109" s="328"/>
      <c r="E109" s="328"/>
      <c r="F109" s="328"/>
      <c r="G109" s="328"/>
      <c r="H109" s="328"/>
      <c r="I109" s="328"/>
      <c r="J109" s="328"/>
      <c r="K109" s="328">
        <v>100</v>
      </c>
      <c r="L109" s="328"/>
      <c r="M109" s="328">
        <f t="shared" ref="M109:M112" si="137">SUM(B109:L109)</f>
        <v>100</v>
      </c>
      <c r="N109" s="328"/>
      <c r="O109" s="328"/>
      <c r="P109" s="328"/>
      <c r="Q109" s="328"/>
      <c r="R109" s="381">
        <f t="shared" ref="R109:R112" si="138">SUM(N109:Q109)</f>
        <v>0</v>
      </c>
    </row>
    <row r="110" spans="1:18" s="84" customFormat="1" ht="30" outlineLevel="2" x14ac:dyDescent="0.25">
      <c r="A110" s="380" t="s">
        <v>736</v>
      </c>
      <c r="B110" s="328"/>
      <c r="C110" s="328">
        <v>200</v>
      </c>
      <c r="D110" s="328">
        <v>500</v>
      </c>
      <c r="E110" s="328">
        <v>200</v>
      </c>
      <c r="F110" s="328">
        <v>100</v>
      </c>
      <c r="G110" s="328">
        <v>100</v>
      </c>
      <c r="H110" s="328">
        <v>150</v>
      </c>
      <c r="I110" s="328">
        <v>100</v>
      </c>
      <c r="J110" s="328"/>
      <c r="K110" s="328"/>
      <c r="L110" s="328"/>
      <c r="M110" s="328">
        <f t="shared" si="137"/>
        <v>1350</v>
      </c>
      <c r="N110" s="328"/>
      <c r="O110" s="328"/>
      <c r="P110" s="328"/>
      <c r="Q110" s="328"/>
      <c r="R110" s="381">
        <f t="shared" si="138"/>
        <v>0</v>
      </c>
    </row>
    <row r="111" spans="1:18" s="84" customFormat="1" outlineLevel="2" x14ac:dyDescent="0.25">
      <c r="A111" s="382"/>
      <c r="B111" s="316"/>
      <c r="C111" s="316"/>
      <c r="D111" s="316"/>
      <c r="E111" s="316"/>
      <c r="F111" s="316"/>
      <c r="G111" s="316"/>
      <c r="H111" s="316"/>
      <c r="I111" s="316"/>
      <c r="J111" s="316"/>
      <c r="K111" s="316"/>
      <c r="L111" s="316"/>
      <c r="M111" s="328">
        <f t="shared" si="137"/>
        <v>0</v>
      </c>
      <c r="N111" s="316"/>
      <c r="O111" s="316"/>
      <c r="P111" s="316"/>
      <c r="Q111" s="316"/>
      <c r="R111" s="383">
        <f t="shared" si="138"/>
        <v>0</v>
      </c>
    </row>
    <row r="112" spans="1:18" s="84" customFormat="1" ht="15.75" outlineLevel="2" thickBot="1" x14ac:dyDescent="0.3">
      <c r="A112" s="382" t="s">
        <v>684</v>
      </c>
      <c r="B112" s="316">
        <v>400</v>
      </c>
      <c r="C112" s="316">
        <v>200</v>
      </c>
      <c r="D112" s="316"/>
      <c r="E112" s="316"/>
      <c r="F112" s="316"/>
      <c r="G112" s="316"/>
      <c r="H112" s="316"/>
      <c r="I112" s="316"/>
      <c r="J112" s="316"/>
      <c r="K112" s="316">
        <v>500</v>
      </c>
      <c r="L112" s="316"/>
      <c r="M112" s="327">
        <f t="shared" si="137"/>
        <v>1100</v>
      </c>
      <c r="N112" s="316">
        <v>400</v>
      </c>
      <c r="O112" s="316">
        <v>200</v>
      </c>
      <c r="P112" s="316"/>
      <c r="Q112" s="316"/>
      <c r="R112" s="383">
        <f t="shared" si="138"/>
        <v>600</v>
      </c>
    </row>
    <row r="113" spans="1:18" ht="15.75" outlineLevel="1" thickBot="1" x14ac:dyDescent="0.3">
      <c r="A113" s="55" t="s">
        <v>685</v>
      </c>
      <c r="B113" s="56">
        <f>SUBTOTAL(9,B108:B112)</f>
        <v>1200</v>
      </c>
      <c r="C113" s="57">
        <f t="shared" ref="C113" si="139">SUBTOTAL(9,C108:C112)</f>
        <v>800</v>
      </c>
      <c r="D113" s="57">
        <f t="shared" ref="D113" si="140">SUBTOTAL(9,D108:D112)</f>
        <v>500</v>
      </c>
      <c r="E113" s="57">
        <f t="shared" ref="E113" si="141">SUBTOTAL(9,E108:E112)</f>
        <v>500</v>
      </c>
      <c r="F113" s="57">
        <f t="shared" ref="F113" si="142">SUBTOTAL(9,F108:F112)</f>
        <v>100</v>
      </c>
      <c r="G113" s="57">
        <f t="shared" ref="G113" si="143">SUBTOTAL(9,G108:G112)</f>
        <v>100</v>
      </c>
      <c r="H113" s="57">
        <f t="shared" ref="H113" si="144">SUBTOTAL(9,H108:H112)</f>
        <v>150</v>
      </c>
      <c r="I113" s="57">
        <f t="shared" ref="I113" si="145">SUBTOTAL(9,I108:I112)</f>
        <v>200</v>
      </c>
      <c r="J113" s="57">
        <f t="shared" ref="J113" si="146">SUBTOTAL(9,J108:J112)</f>
        <v>0</v>
      </c>
      <c r="K113" s="57">
        <f t="shared" ref="K113:L113" si="147">SUBTOTAL(9,K108:K112)</f>
        <v>600</v>
      </c>
      <c r="L113" s="57">
        <f t="shared" si="147"/>
        <v>0</v>
      </c>
      <c r="M113" s="57">
        <f>SUM(B113:L113)</f>
        <v>4150</v>
      </c>
      <c r="N113" s="58">
        <f t="shared" ref="N113" si="148">SUBTOTAL(9,N108:N112)</f>
        <v>1200</v>
      </c>
      <c r="O113" s="58">
        <f t="shared" ref="O113" si="149">SUBTOTAL(9,O108:O112)</f>
        <v>200</v>
      </c>
      <c r="P113" s="58">
        <f t="shared" ref="P113" si="150">SUBTOTAL(9,P108:P112)</f>
        <v>0</v>
      </c>
      <c r="Q113" s="58">
        <f t="shared" ref="Q113" si="151">SUBTOTAL(9,Q108:Q112)</f>
        <v>0</v>
      </c>
      <c r="R113" s="59">
        <f t="shared" ref="R113" si="152">SUBTOTAL(9,R108:R112)</f>
        <v>1400</v>
      </c>
    </row>
    <row r="114" spans="1:18" outlineLevel="1" x14ac:dyDescent="0.25">
      <c r="A114" s="36"/>
      <c r="B114" s="60"/>
      <c r="C114" s="60"/>
      <c r="D114" s="60"/>
      <c r="E114" s="60"/>
      <c r="F114" s="60"/>
      <c r="G114" s="60"/>
      <c r="H114" s="60"/>
      <c r="I114" s="60"/>
      <c r="J114" s="60"/>
      <c r="K114" s="60"/>
      <c r="L114" s="60"/>
      <c r="M114" s="60"/>
      <c r="N114" s="60"/>
      <c r="O114" s="60"/>
      <c r="P114" s="60"/>
      <c r="Q114" s="60"/>
      <c r="R114" s="61"/>
    </row>
    <row r="115" spans="1:18" ht="15.75" outlineLevel="1" thickBot="1" x14ac:dyDescent="0.3">
      <c r="A115" s="48" t="s">
        <v>737</v>
      </c>
      <c r="B115" s="52"/>
      <c r="C115" s="52"/>
      <c r="D115" s="52"/>
      <c r="E115" s="52"/>
      <c r="F115" s="52"/>
      <c r="G115" s="52"/>
      <c r="H115" s="52"/>
      <c r="I115" s="52"/>
      <c r="J115" s="52"/>
      <c r="K115" s="52"/>
      <c r="L115" s="52"/>
      <c r="M115" s="52"/>
      <c r="N115" s="53"/>
      <c r="O115" s="53"/>
      <c r="P115" s="53"/>
      <c r="Q115" s="53"/>
      <c r="R115" s="54"/>
    </row>
    <row r="116" spans="1:18" s="84" customFormat="1" ht="45" outlineLevel="2" x14ac:dyDescent="0.25">
      <c r="A116" s="376" t="s">
        <v>738</v>
      </c>
      <c r="B116" s="377"/>
      <c r="C116" s="377"/>
      <c r="D116" s="377">
        <v>250</v>
      </c>
      <c r="E116" s="377"/>
      <c r="F116" s="377"/>
      <c r="G116" s="377"/>
      <c r="H116" s="377"/>
      <c r="I116" s="377"/>
      <c r="J116" s="377">
        <v>100</v>
      </c>
      <c r="K116" s="377"/>
      <c r="L116" s="377"/>
      <c r="M116" s="378">
        <f>SUM(B116:L116)</f>
        <v>350</v>
      </c>
      <c r="N116" s="377"/>
      <c r="O116" s="377"/>
      <c r="P116" s="377"/>
      <c r="Q116" s="377"/>
      <c r="R116" s="379">
        <f>SUM(N116:Q116)</f>
        <v>0</v>
      </c>
    </row>
    <row r="117" spans="1:18" s="84" customFormat="1" outlineLevel="2" x14ac:dyDescent="0.25">
      <c r="A117" s="380" t="s">
        <v>739</v>
      </c>
      <c r="B117" s="328"/>
      <c r="C117" s="328"/>
      <c r="D117" s="328">
        <v>2000</v>
      </c>
      <c r="E117" s="328"/>
      <c r="F117" s="328"/>
      <c r="G117" s="328"/>
      <c r="H117" s="328"/>
      <c r="I117" s="328"/>
      <c r="J117" s="328"/>
      <c r="K117" s="328"/>
      <c r="L117" s="328"/>
      <c r="M117" s="328">
        <f t="shared" ref="M117:M120" si="153">SUM(B117:L117)</f>
        <v>2000</v>
      </c>
      <c r="N117" s="328"/>
      <c r="O117" s="328"/>
      <c r="P117" s="328"/>
      <c r="Q117" s="328"/>
      <c r="R117" s="381">
        <f t="shared" ref="R117:R120" si="154">SUM(N117:Q117)</f>
        <v>0</v>
      </c>
    </row>
    <row r="118" spans="1:18" s="84" customFormat="1" outlineLevel="2" x14ac:dyDescent="0.25">
      <c r="A118" s="380" t="s">
        <v>740</v>
      </c>
      <c r="B118" s="328"/>
      <c r="C118" s="328"/>
      <c r="D118" s="328">
        <v>2000</v>
      </c>
      <c r="E118" s="328"/>
      <c r="F118" s="328"/>
      <c r="G118" s="328"/>
      <c r="H118" s="328"/>
      <c r="I118" s="328"/>
      <c r="J118" s="328"/>
      <c r="K118" s="328"/>
      <c r="L118" s="328"/>
      <c r="M118" s="328">
        <f t="shared" si="153"/>
        <v>2000</v>
      </c>
      <c r="N118" s="328"/>
      <c r="O118" s="328"/>
      <c r="P118" s="328"/>
      <c r="Q118" s="328"/>
      <c r="R118" s="381">
        <f t="shared" si="154"/>
        <v>0</v>
      </c>
    </row>
    <row r="119" spans="1:18" s="84" customFormat="1" outlineLevel="2" x14ac:dyDescent="0.25">
      <c r="A119" s="382"/>
      <c r="B119" s="316"/>
      <c r="C119" s="316"/>
      <c r="D119" s="316"/>
      <c r="E119" s="316"/>
      <c r="F119" s="316"/>
      <c r="G119" s="316"/>
      <c r="H119" s="316"/>
      <c r="I119" s="316"/>
      <c r="J119" s="316"/>
      <c r="K119" s="316"/>
      <c r="L119" s="316"/>
      <c r="M119" s="328">
        <f t="shared" si="153"/>
        <v>0</v>
      </c>
      <c r="N119" s="316"/>
      <c r="O119" s="316"/>
      <c r="P119" s="316"/>
      <c r="Q119" s="316"/>
      <c r="R119" s="383">
        <f t="shared" si="154"/>
        <v>0</v>
      </c>
    </row>
    <row r="120" spans="1:18" s="84" customFormat="1" ht="15.75" outlineLevel="2" thickBot="1" x14ac:dyDescent="0.3">
      <c r="A120" s="382" t="s">
        <v>684</v>
      </c>
      <c r="B120" s="316"/>
      <c r="C120" s="316"/>
      <c r="D120" s="316"/>
      <c r="E120" s="316"/>
      <c r="F120" s="316"/>
      <c r="G120" s="316"/>
      <c r="H120" s="316"/>
      <c r="I120" s="316"/>
      <c r="J120" s="316"/>
      <c r="K120" s="316"/>
      <c r="L120" s="316"/>
      <c r="M120" s="327">
        <f t="shared" si="153"/>
        <v>0</v>
      </c>
      <c r="N120" s="316"/>
      <c r="O120" s="316"/>
      <c r="P120" s="316"/>
      <c r="Q120" s="316"/>
      <c r="R120" s="383">
        <f t="shared" si="154"/>
        <v>0</v>
      </c>
    </row>
    <row r="121" spans="1:18" ht="15.75" outlineLevel="1" thickBot="1" x14ac:dyDescent="0.3">
      <c r="A121" s="55" t="s">
        <v>685</v>
      </c>
      <c r="B121" s="56">
        <f>SUBTOTAL(9,B116:B120)</f>
        <v>0</v>
      </c>
      <c r="C121" s="57">
        <f t="shared" ref="C121" si="155">SUBTOTAL(9,C116:C120)</f>
        <v>0</v>
      </c>
      <c r="D121" s="57">
        <f t="shared" ref="D121" si="156">SUBTOTAL(9,D116:D120)</f>
        <v>4250</v>
      </c>
      <c r="E121" s="57">
        <f t="shared" ref="E121" si="157">SUBTOTAL(9,E116:E120)</f>
        <v>0</v>
      </c>
      <c r="F121" s="57">
        <f t="shared" ref="F121" si="158">SUBTOTAL(9,F116:F120)</f>
        <v>0</v>
      </c>
      <c r="G121" s="57">
        <f t="shared" ref="G121" si="159">SUBTOTAL(9,G116:G120)</f>
        <v>0</v>
      </c>
      <c r="H121" s="57">
        <f t="shared" ref="H121" si="160">SUBTOTAL(9,H116:H120)</f>
        <v>0</v>
      </c>
      <c r="I121" s="57">
        <f t="shared" ref="I121" si="161">SUBTOTAL(9,I116:I120)</f>
        <v>0</v>
      </c>
      <c r="J121" s="57">
        <f t="shared" ref="J121" si="162">SUBTOTAL(9,J116:J120)</f>
        <v>100</v>
      </c>
      <c r="K121" s="57">
        <f t="shared" ref="K121:L121" si="163">SUBTOTAL(9,K116:K120)</f>
        <v>0</v>
      </c>
      <c r="L121" s="57">
        <f t="shared" si="163"/>
        <v>0</v>
      </c>
      <c r="M121" s="57">
        <f>SUM(B121:L121)</f>
        <v>4350</v>
      </c>
      <c r="N121" s="58">
        <f t="shared" ref="N121" si="164">SUBTOTAL(9,N116:N120)</f>
        <v>0</v>
      </c>
      <c r="O121" s="58">
        <f t="shared" ref="O121" si="165">SUBTOTAL(9,O116:O120)</f>
        <v>0</v>
      </c>
      <c r="P121" s="58">
        <f t="shared" ref="P121" si="166">SUBTOTAL(9,P116:P120)</f>
        <v>0</v>
      </c>
      <c r="Q121" s="58">
        <f t="shared" ref="Q121" si="167">SUBTOTAL(9,Q116:Q120)</f>
        <v>0</v>
      </c>
      <c r="R121" s="59">
        <f t="shared" ref="R121" si="168">SUBTOTAL(9,R116:R120)</f>
        <v>0</v>
      </c>
    </row>
    <row r="122" spans="1:18" outlineLevel="1" x14ac:dyDescent="0.25">
      <c r="A122" s="36"/>
      <c r="B122" s="60"/>
      <c r="C122" s="60"/>
      <c r="D122" s="60"/>
      <c r="E122" s="60"/>
      <c r="F122" s="60"/>
      <c r="G122" s="60"/>
      <c r="H122" s="60"/>
      <c r="I122" s="60"/>
      <c r="J122" s="60"/>
      <c r="K122" s="60"/>
      <c r="L122" s="60"/>
      <c r="M122" s="60"/>
      <c r="N122" s="60"/>
      <c r="O122" s="60"/>
      <c r="P122" s="60"/>
      <c r="Q122" s="60"/>
      <c r="R122" s="61"/>
    </row>
    <row r="123" spans="1:18" s="84" customFormat="1" ht="30" outlineLevel="1" x14ac:dyDescent="0.25">
      <c r="A123" s="273" t="s">
        <v>741</v>
      </c>
      <c r="B123" s="274"/>
      <c r="C123" s="274">
        <v>800</v>
      </c>
      <c r="D123" s="274">
        <v>2000</v>
      </c>
      <c r="E123" s="274">
        <v>400</v>
      </c>
      <c r="F123" s="274"/>
      <c r="G123" s="274">
        <v>200</v>
      </c>
      <c r="H123" s="274">
        <v>1000</v>
      </c>
      <c r="I123" s="274">
        <v>500</v>
      </c>
      <c r="J123" s="274">
        <v>500</v>
      </c>
      <c r="K123" s="274">
        <v>0</v>
      </c>
      <c r="L123" s="274"/>
      <c r="M123" s="274">
        <f>SUM(B123:K123)</f>
        <v>5400</v>
      </c>
      <c r="N123" s="274"/>
      <c r="O123" s="274">
        <v>200</v>
      </c>
      <c r="P123" s="274"/>
      <c r="Q123" s="274"/>
      <c r="R123" s="275">
        <f>SUM(N123:Q123)</f>
        <v>200</v>
      </c>
    </row>
    <row r="124" spans="1:18" outlineLevel="1" x14ac:dyDescent="0.25">
      <c r="A124" s="36"/>
      <c r="B124" s="60"/>
      <c r="C124" s="60"/>
      <c r="D124" s="60"/>
      <c r="E124" s="60"/>
      <c r="F124" s="60"/>
      <c r="G124" s="60"/>
      <c r="H124" s="60"/>
      <c r="I124" s="60"/>
      <c r="J124" s="60"/>
      <c r="K124" s="60"/>
      <c r="L124" s="60"/>
      <c r="M124" s="60"/>
      <c r="N124" s="60"/>
      <c r="O124" s="60"/>
      <c r="P124" s="60"/>
      <c r="Q124" s="60"/>
      <c r="R124" s="61"/>
    </row>
    <row r="125" spans="1:18" x14ac:dyDescent="0.25">
      <c r="A125" s="86" t="s">
        <v>579</v>
      </c>
      <c r="B125" s="37">
        <f>SUBTOTAL(9,Tabelle8[Honorare Dozierende])</f>
        <v>9180</v>
      </c>
      <c r="C125" s="37">
        <f>SUBTOTAL(9,Tabelle8[Andere Honorare])</f>
        <v>10200</v>
      </c>
      <c r="D125" s="37">
        <f>SUBTOTAL(9,Tabelle8[Interne Reisekosten])</f>
        <v>16800</v>
      </c>
      <c r="E125" s="37">
        <f>SUBTOTAL(9,Tabelle8[Externe Reisekosten])</f>
        <v>3850</v>
      </c>
      <c r="F125" s="37">
        <f>SUBTOTAL(9,Tabelle8[Bewirtung/Repräsentation int.])</f>
        <v>5050</v>
      </c>
      <c r="G125" s="37">
        <f>SUBTOTAL(9,Tabelle8[Bewirtung/Repräsentation ext.])</f>
        <v>10100</v>
      </c>
      <c r="H125" s="37">
        <f>SUBTOTAL(9,Tabelle8[Raum- und Unterkunftskosten int.])</f>
        <v>16250</v>
      </c>
      <c r="I125" s="37">
        <f>SUBTOTAL(9,Tabelle8[Raum- und Unterkunftskosten ext.])</f>
        <v>4730</v>
      </c>
      <c r="J125" s="37">
        <f>SUBTOTAL(9,Tabelle8[Druckkosten])</f>
        <v>3150</v>
      </c>
      <c r="K125" s="37">
        <f>SUBTOTAL(9,Tabelle8[Sonstige Ausgaben])</f>
        <v>11700</v>
      </c>
      <c r="L125" s="37">
        <f>SUBTOTAL(9,Tabelle8[IT-Dienstleistungen])</f>
        <v>5500</v>
      </c>
      <c r="M125" s="37"/>
      <c r="N125" s="38">
        <f>SUBTOTAL(9,Tabelle8[Teilnahmebeiträge Seminare])</f>
        <v>5200</v>
      </c>
      <c r="O125" s="38">
        <f>SUBTOTAL(9,Tabelle8[Teilnahmebeiträge Veranstaltungen])</f>
        <v>5050</v>
      </c>
      <c r="P125" s="38">
        <f>SUBTOTAL(9,Tabelle8[Bewirtung Veranst.])</f>
        <v>0</v>
      </c>
      <c r="Q125" s="38">
        <f>SUBTOTAL(9,Tabelle8[Förderungen])</f>
        <v>13300</v>
      </c>
      <c r="R125" s="38">
        <f>SUBTOTAL(9,Tabelle8[Einnahmen Gesamt])</f>
        <v>21550</v>
      </c>
    </row>
    <row r="127" spans="1:18" ht="18.75" x14ac:dyDescent="0.3">
      <c r="A127" s="11"/>
    </row>
    <row r="128" spans="1:18" ht="19.5" thickBot="1" x14ac:dyDescent="0.35">
      <c r="A128" s="11"/>
    </row>
    <row r="129" spans="1:4" ht="45" x14ac:dyDescent="0.25">
      <c r="A129" s="387" t="s">
        <v>478</v>
      </c>
      <c r="B129" s="70" t="s">
        <v>742</v>
      </c>
      <c r="C129" s="66" t="s">
        <v>743</v>
      </c>
      <c r="D129" s="66" t="s">
        <v>669</v>
      </c>
    </row>
    <row r="130" spans="1:4" ht="15.75" thickBot="1" x14ac:dyDescent="0.3">
      <c r="A130" s="74" t="s">
        <v>726</v>
      </c>
      <c r="B130" s="75" t="s">
        <v>744</v>
      </c>
      <c r="C130" s="89" t="s">
        <v>745</v>
      </c>
      <c r="D130" s="89" t="s">
        <v>746</v>
      </c>
    </row>
    <row r="131" spans="1:4" s="84" customFormat="1" x14ac:dyDescent="0.25">
      <c r="A131" s="276" t="s">
        <v>747</v>
      </c>
      <c r="B131" s="277">
        <v>0</v>
      </c>
      <c r="C131" s="278">
        <v>0</v>
      </c>
      <c r="D131" s="278">
        <v>0</v>
      </c>
    </row>
    <row r="132" spans="1:4" s="84" customFormat="1" x14ac:dyDescent="0.25">
      <c r="A132" s="279"/>
      <c r="B132" s="388"/>
      <c r="C132" s="389"/>
      <c r="D132" s="389"/>
    </row>
    <row r="133" spans="1:4" s="84" customFormat="1" x14ac:dyDescent="0.25">
      <c r="A133" s="279" t="s">
        <v>748</v>
      </c>
      <c r="B133" s="388">
        <v>0</v>
      </c>
      <c r="C133" s="389">
        <v>0</v>
      </c>
      <c r="D133" s="389">
        <v>0</v>
      </c>
    </row>
    <row r="134" spans="1:4" s="84" customFormat="1" ht="15.75" thickBot="1" x14ac:dyDescent="0.3">
      <c r="A134" s="279" t="s">
        <v>585</v>
      </c>
      <c r="B134" s="280">
        <v>0</v>
      </c>
      <c r="C134" s="390"/>
      <c r="D134" s="390"/>
    </row>
    <row r="135" spans="1:4" ht="15.75" thickBot="1" x14ac:dyDescent="0.3">
      <c r="A135" s="73" t="s">
        <v>749</v>
      </c>
      <c r="B135" s="391">
        <f>SUBTOTAL(9,B131:B134)</f>
        <v>0</v>
      </c>
      <c r="C135" s="69">
        <f t="shared" ref="C135:D135" si="169">SUBTOTAL(9,C131:C134)</f>
        <v>0</v>
      </c>
      <c r="D135" s="69">
        <f t="shared" si="169"/>
        <v>0</v>
      </c>
    </row>
    <row r="136" spans="1:4" x14ac:dyDescent="0.25">
      <c r="A136" s="73"/>
      <c r="B136" s="71"/>
      <c r="C136" s="68"/>
      <c r="D136" s="68"/>
    </row>
    <row r="137" spans="1:4" ht="15.75" thickBot="1" x14ac:dyDescent="0.3">
      <c r="A137" s="74" t="s">
        <v>737</v>
      </c>
      <c r="B137" s="76"/>
      <c r="C137" s="77"/>
      <c r="D137" s="77"/>
    </row>
    <row r="138" spans="1:4" s="84" customFormat="1" x14ac:dyDescent="0.25">
      <c r="A138" s="276" t="s">
        <v>750</v>
      </c>
      <c r="B138" s="277">
        <v>0</v>
      </c>
      <c r="C138" s="278">
        <v>36000</v>
      </c>
      <c r="D138" s="278">
        <f>SUBTOTAL(109,D130:D137)</f>
        <v>0</v>
      </c>
    </row>
    <row r="139" spans="1:4" s="84" customFormat="1" x14ac:dyDescent="0.25">
      <c r="A139" s="279" t="s">
        <v>751</v>
      </c>
      <c r="B139" s="388"/>
      <c r="C139" s="389"/>
      <c r="D139" s="389">
        <v>3000</v>
      </c>
    </row>
    <row r="140" spans="1:4" s="84" customFormat="1" x14ac:dyDescent="0.25">
      <c r="A140" s="279" t="s">
        <v>752</v>
      </c>
      <c r="B140" s="388">
        <v>0</v>
      </c>
      <c r="C140" s="389">
        <v>40000</v>
      </c>
      <c r="D140" s="389">
        <v>0</v>
      </c>
    </row>
    <row r="141" spans="1:4" s="84" customFormat="1" x14ac:dyDescent="0.25">
      <c r="A141" s="392" t="s">
        <v>753</v>
      </c>
      <c r="B141" s="280"/>
      <c r="C141" s="390"/>
      <c r="D141" s="390">
        <v>4000</v>
      </c>
    </row>
    <row r="142" spans="1:4" s="84" customFormat="1" ht="15.75" thickBot="1" x14ac:dyDescent="0.3">
      <c r="A142" s="392"/>
      <c r="B142" s="280"/>
      <c r="C142" s="390"/>
      <c r="D142" s="390"/>
    </row>
    <row r="143" spans="1:4" ht="15.75" thickBot="1" x14ac:dyDescent="0.3">
      <c r="A143" s="393" t="s">
        <v>749</v>
      </c>
      <c r="B143" s="391">
        <f>SUBTOTAL(9,B138:B141)</f>
        <v>0</v>
      </c>
      <c r="C143" s="90">
        <f>SUBTOTAL(9,C138:C141)</f>
        <v>76000</v>
      </c>
      <c r="D143" s="90">
        <f>SUBTOTAL(9,D138:D141)</f>
        <v>7000</v>
      </c>
    </row>
    <row r="144" spans="1:4" x14ac:dyDescent="0.25">
      <c r="A144" s="393"/>
      <c r="B144" s="67"/>
      <c r="C144" s="52"/>
      <c r="D144" s="52"/>
    </row>
    <row r="145" spans="1:4" ht="15.75" thickBot="1" x14ac:dyDescent="0.3">
      <c r="A145" s="88" t="s">
        <v>754</v>
      </c>
      <c r="B145" s="72">
        <f>SUBTOTAL(9,Tabelle13[Honorare Doz. Lerngruppen])</f>
        <v>0</v>
      </c>
      <c r="C145" s="394">
        <f>SUBTOTAL(9,Tabelle13[Honorare Seminare Campus])</f>
        <v>76000</v>
      </c>
      <c r="D145" s="394">
        <f>SUBTOTAL(9,Tabelle13[Bewirtung/Repräsentation ext.])</f>
        <v>7000</v>
      </c>
    </row>
  </sheetData>
  <sheetProtection insertRows="0" insertHyperlinks="0"/>
  <hyperlinks>
    <hyperlink ref="B130" location="Haushalt!D254" display="(Titel 681.30)"/>
    <hyperlink ref="G2" location="AStA_Bew.Ext." display="AStA_Bew.Ext."/>
    <hyperlink ref="I2" location="AStA_R_U_Ext." display="AStA_R_U_Ext."/>
    <hyperlink ref="J2" location="AStA_Druck" display="AStA_Druck"/>
    <hyperlink ref="K2" location="AStA_Sonst." display="AStA_Sonst."/>
    <hyperlink ref="F2" location="AStA_Bew.Int." display="AStA_Bew.Int."/>
    <hyperlink ref="H2" location="AStA_R_U_Int." display="AStA_R_U_Int."/>
    <hyperlink ref="N2" location="AStA_TN_I" display="AStA_TN_I"/>
    <hyperlink ref="O2" location="AStA_TN_2" display="AStA_TN_2"/>
    <hyperlink ref="P2" location="AStA_Einn.Bew." display="AStA_Einn.Bew."/>
    <hyperlink ref="Q2" location="Haushalt!D32" display="Haushalt!D32"/>
    <hyperlink ref="C130" location="Haushalt!C265" display="(Titel 681.40)"/>
    <hyperlink ref="D130" location="Haushalt!C266" display="(Titel 681.50)"/>
    <hyperlink ref="D143" location="Haushalt!D266" display="Haushalt!D266"/>
    <hyperlink ref="B143" location="Haushalt!D264" display="Haushalt!D264"/>
    <hyperlink ref="B135" location="Haushalt!D264" display="Haushalt!D264"/>
    <hyperlink ref="C143" location="Haushalt!D265" display="Haushalt!D265"/>
    <hyperlink ref="B3" location="AStA_Hon_I" display="AStA_Hon_I"/>
    <hyperlink ref="C3" location="AStA_Hon_II" display="AStA_Hon_II"/>
    <hyperlink ref="E3" location="AStA_Ext.RK" display="AStA_Ext.RK"/>
    <hyperlink ref="G3" location="AStA_Bew.Ext." display="AStA_Bew.Ext."/>
    <hyperlink ref="I3" location="AStA_R_U_Ext." display="AStA_R_U_Ext."/>
    <hyperlink ref="J3" location="AStA_Druck" display="AStA_Druck"/>
    <hyperlink ref="K3" location="AStA_Sonst." display="AStA_Sonst."/>
    <hyperlink ref="F3" location="AStA_Bew.Int." display="AStA_Bew.Int."/>
    <hyperlink ref="H3" location="AStA_R_U_Int." display="AStA_R_U_Int."/>
    <hyperlink ref="D3" location="AStA_RK_Int." display="AStA_RK_Int."/>
    <hyperlink ref="N3" location="AStA_TN_I" display="AStA_TN_I"/>
    <hyperlink ref="O3" location="AStA_TN_2" display="AStA_TN_2"/>
    <hyperlink ref="P3" location="AStA_Einn.Bew." display="AStA_Einn.Bew."/>
    <hyperlink ref="Q3" location="Förderungen" display="Förderungen"/>
    <hyperlink ref="E2" location="AStA_Ext.RK" display="AStA_Ext.RK"/>
    <hyperlink ref="D2" location="AStA_RK_Int." display="AStA_RK_Int."/>
    <hyperlink ref="C2" location="AStA_Hon_II" display="AStA_Hon_II"/>
    <hyperlink ref="B2" location="AStA_Hon_I" display="AStA_Hon_I"/>
    <hyperlink ref="L3" location="Haushalt!E231" display="Haushalt!E231"/>
  </hyperlinks>
  <pageMargins left="0.7" right="0.7" top="0.78740157499999996" bottom="0.78740157499999996" header="0.3" footer="0.3"/>
  <pageSetup paperSize="9" orientation="portrait" verticalDpi="0"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34"/>
  <sheetViews>
    <sheetView topLeftCell="A13" workbookViewId="0">
      <selection activeCell="D34" sqref="D34"/>
    </sheetView>
  </sheetViews>
  <sheetFormatPr baseColWidth="10" defaultColWidth="11.42578125" defaultRowHeight="15" x14ac:dyDescent="0.25"/>
  <cols>
    <col min="1" max="1" width="13.5703125" style="238" customWidth="1"/>
    <col min="2" max="2" width="22.140625" style="238" customWidth="1"/>
    <col min="3" max="3" width="17.140625" style="238" customWidth="1"/>
    <col min="4" max="4" width="17.140625" style="248" customWidth="1"/>
    <col min="5" max="6" width="11" style="238"/>
  </cols>
  <sheetData>
    <row r="1" spans="1:8" ht="18.75" x14ac:dyDescent="0.3">
      <c r="A1" s="241" t="s">
        <v>755</v>
      </c>
    </row>
    <row r="3" spans="1:8" x14ac:dyDescent="0.25">
      <c r="A3" s="242" t="s">
        <v>553</v>
      </c>
    </row>
    <row r="4" spans="1:8" x14ac:dyDescent="0.25">
      <c r="A4" s="243" t="s">
        <v>618</v>
      </c>
      <c r="B4" s="244" t="s">
        <v>756</v>
      </c>
      <c r="C4" s="244" t="s">
        <v>620</v>
      </c>
      <c r="D4" s="249" t="s">
        <v>621</v>
      </c>
      <c r="E4" s="239" t="s">
        <v>2</v>
      </c>
      <c r="F4" s="239" t="s">
        <v>622</v>
      </c>
      <c r="H4" t="s">
        <v>757</v>
      </c>
    </row>
    <row r="5" spans="1:8" x14ac:dyDescent="0.25">
      <c r="A5" s="358">
        <v>1</v>
      </c>
      <c r="B5" s="247" t="s">
        <v>426</v>
      </c>
      <c r="C5" s="247" t="s">
        <v>758</v>
      </c>
      <c r="D5" s="250">
        <v>5000</v>
      </c>
      <c r="E5" s="395" t="s">
        <v>424</v>
      </c>
      <c r="F5" s="359"/>
    </row>
    <row r="6" spans="1:8" x14ac:dyDescent="0.25">
      <c r="A6" s="358">
        <v>2</v>
      </c>
      <c r="B6" s="247" t="s">
        <v>759</v>
      </c>
      <c r="C6" s="247" t="s">
        <v>628</v>
      </c>
      <c r="D6" s="250">
        <v>4500</v>
      </c>
      <c r="E6" s="395" t="s">
        <v>430</v>
      </c>
      <c r="F6" s="359"/>
    </row>
    <row r="7" spans="1:8" x14ac:dyDescent="0.25">
      <c r="A7" s="358">
        <v>3</v>
      </c>
      <c r="B7" s="247" t="s">
        <v>760</v>
      </c>
      <c r="C7" s="247" t="s">
        <v>628</v>
      </c>
      <c r="D7" s="250">
        <v>4500</v>
      </c>
      <c r="E7" s="395" t="s">
        <v>430</v>
      </c>
      <c r="F7" s="359"/>
    </row>
    <row r="8" spans="1:8" x14ac:dyDescent="0.25">
      <c r="A8" s="358">
        <v>4</v>
      </c>
      <c r="B8" s="247" t="s">
        <v>761</v>
      </c>
      <c r="C8" s="247" t="s">
        <v>762</v>
      </c>
      <c r="D8" s="250">
        <v>350</v>
      </c>
      <c r="E8" s="395" t="s">
        <v>430</v>
      </c>
      <c r="F8" s="359"/>
    </row>
    <row r="9" spans="1:8" x14ac:dyDescent="0.25">
      <c r="A9" s="358">
        <v>5</v>
      </c>
      <c r="B9" s="247" t="s">
        <v>763</v>
      </c>
      <c r="C9" s="247" t="s">
        <v>764</v>
      </c>
      <c r="D9" s="250">
        <v>2900</v>
      </c>
      <c r="E9" s="395"/>
      <c r="F9" s="359"/>
    </row>
    <row r="10" spans="1:8" x14ac:dyDescent="0.25">
      <c r="A10" s="358">
        <v>6</v>
      </c>
      <c r="B10" s="247" t="s">
        <v>643</v>
      </c>
      <c r="C10" s="247"/>
      <c r="D10" s="250">
        <v>3000</v>
      </c>
      <c r="E10" s="395"/>
      <c r="F10" s="359"/>
    </row>
    <row r="11" spans="1:8" x14ac:dyDescent="0.25">
      <c r="A11" s="245" t="s">
        <v>579</v>
      </c>
      <c r="B11" s="267"/>
      <c r="C11" s="267"/>
      <c r="D11" s="396">
        <f>SUM(D5:D10)</f>
        <v>20250</v>
      </c>
      <c r="E11" s="240"/>
      <c r="F11" s="246"/>
    </row>
    <row r="14" spans="1:8" x14ac:dyDescent="0.25">
      <c r="A14" s="242" t="s">
        <v>765</v>
      </c>
    </row>
    <row r="15" spans="1:8" x14ac:dyDescent="0.25">
      <c r="A15" s="243" t="s">
        <v>618</v>
      </c>
      <c r="B15" s="244" t="s">
        <v>756</v>
      </c>
      <c r="C15" s="244" t="s">
        <v>620</v>
      </c>
      <c r="D15" s="249" t="s">
        <v>621</v>
      </c>
      <c r="E15" s="239" t="s">
        <v>2</v>
      </c>
      <c r="F15" s="239" t="s">
        <v>622</v>
      </c>
    </row>
    <row r="16" spans="1:8" x14ac:dyDescent="0.25">
      <c r="A16" s="358">
        <v>1</v>
      </c>
      <c r="B16" s="247" t="s">
        <v>426</v>
      </c>
      <c r="C16" s="247" t="s">
        <v>758</v>
      </c>
      <c r="D16" s="250">
        <v>5000</v>
      </c>
      <c r="E16" s="395" t="s">
        <v>424</v>
      </c>
      <c r="F16" s="359"/>
    </row>
    <row r="17" spans="1:6" x14ac:dyDescent="0.25">
      <c r="A17" s="358">
        <v>2</v>
      </c>
      <c r="B17" s="247" t="s">
        <v>766</v>
      </c>
      <c r="C17" s="247" t="s">
        <v>767</v>
      </c>
      <c r="D17" s="250">
        <v>24000</v>
      </c>
      <c r="E17" s="395" t="s">
        <v>444</v>
      </c>
      <c r="F17" s="359" t="s">
        <v>768</v>
      </c>
    </row>
    <row r="18" spans="1:6" x14ac:dyDescent="0.25">
      <c r="A18" s="358">
        <v>3</v>
      </c>
      <c r="B18" s="247" t="s">
        <v>769</v>
      </c>
      <c r="C18" s="247" t="s">
        <v>758</v>
      </c>
      <c r="D18" s="250">
        <v>2000</v>
      </c>
      <c r="E18" s="395" t="s">
        <v>427</v>
      </c>
      <c r="F18" s="359"/>
    </row>
    <row r="19" spans="1:6" x14ac:dyDescent="0.25">
      <c r="A19" s="358">
        <v>4</v>
      </c>
      <c r="B19" s="247"/>
      <c r="C19" s="247"/>
      <c r="D19" s="250"/>
      <c r="E19" s="395"/>
      <c r="F19" s="359"/>
    </row>
    <row r="20" spans="1:6" x14ac:dyDescent="0.25">
      <c r="A20" s="358"/>
      <c r="B20" s="247"/>
      <c r="C20" s="247"/>
      <c r="D20" s="250"/>
      <c r="E20" s="395"/>
      <c r="F20" s="359"/>
    </row>
    <row r="21" spans="1:6" x14ac:dyDescent="0.25">
      <c r="A21" s="358"/>
      <c r="B21" s="247"/>
      <c r="C21" s="247"/>
      <c r="D21" s="250"/>
      <c r="E21" s="395"/>
      <c r="F21" s="359"/>
    </row>
    <row r="22" spans="1:6" x14ac:dyDescent="0.25">
      <c r="A22" s="358"/>
      <c r="B22" s="247" t="s">
        <v>643</v>
      </c>
      <c r="C22" s="247" t="s">
        <v>770</v>
      </c>
      <c r="D22" s="250">
        <v>2000</v>
      </c>
      <c r="E22" s="395" t="s">
        <v>427</v>
      </c>
      <c r="F22" s="359"/>
    </row>
    <row r="23" spans="1:6" x14ac:dyDescent="0.25">
      <c r="A23" s="245" t="s">
        <v>579</v>
      </c>
      <c r="B23" s="267"/>
      <c r="C23" s="267"/>
      <c r="D23" s="396">
        <f>SUM(D16:D22)</f>
        <v>33000</v>
      </c>
      <c r="E23" s="240"/>
      <c r="F23" s="246"/>
    </row>
    <row r="26" spans="1:6" x14ac:dyDescent="0.25">
      <c r="A26" s="242" t="s">
        <v>771</v>
      </c>
    </row>
    <row r="27" spans="1:6" x14ac:dyDescent="0.25">
      <c r="A27" s="243" t="s">
        <v>618</v>
      </c>
      <c r="B27" s="244" t="s">
        <v>756</v>
      </c>
      <c r="C27" s="244" t="s">
        <v>620</v>
      </c>
      <c r="D27" s="249" t="s">
        <v>621</v>
      </c>
      <c r="E27" s="239" t="s">
        <v>2</v>
      </c>
      <c r="F27" s="239" t="s">
        <v>622</v>
      </c>
    </row>
    <row r="28" spans="1:6" x14ac:dyDescent="0.25">
      <c r="A28" s="358">
        <v>2</v>
      </c>
      <c r="B28" s="247" t="s">
        <v>759</v>
      </c>
      <c r="C28" s="247" t="s">
        <v>628</v>
      </c>
      <c r="D28" s="250">
        <v>4500</v>
      </c>
      <c r="E28" s="395" t="s">
        <v>430</v>
      </c>
      <c r="F28" s="359"/>
    </row>
    <row r="29" spans="1:6" x14ac:dyDescent="0.25">
      <c r="A29" s="358">
        <v>3</v>
      </c>
      <c r="B29" s="247" t="s">
        <v>760</v>
      </c>
      <c r="C29" s="247" t="s">
        <v>628</v>
      </c>
      <c r="D29" s="250">
        <v>4500</v>
      </c>
      <c r="E29" s="395" t="s">
        <v>430</v>
      </c>
      <c r="F29" s="359"/>
    </row>
    <row r="30" spans="1:6" x14ac:dyDescent="0.25">
      <c r="A30" s="358">
        <v>4</v>
      </c>
      <c r="B30" s="247" t="s">
        <v>761</v>
      </c>
      <c r="C30" s="247" t="s">
        <v>762</v>
      </c>
      <c r="D30" s="250">
        <v>350</v>
      </c>
      <c r="E30" s="395" t="s">
        <v>430</v>
      </c>
      <c r="F30" s="359"/>
    </row>
    <row r="31" spans="1:6" x14ac:dyDescent="0.25">
      <c r="A31" s="358">
        <v>5</v>
      </c>
      <c r="B31" s="247" t="s">
        <v>763</v>
      </c>
      <c r="C31" s="247" t="s">
        <v>764</v>
      </c>
      <c r="D31" s="250">
        <v>2900</v>
      </c>
      <c r="E31" s="395"/>
      <c r="F31" s="359"/>
    </row>
    <row r="32" spans="1:6" x14ac:dyDescent="0.25">
      <c r="A32" s="358">
        <v>6</v>
      </c>
      <c r="B32" s="247" t="s">
        <v>772</v>
      </c>
      <c r="C32" s="247" t="s">
        <v>773</v>
      </c>
      <c r="D32" s="250">
        <f>Referatspläne!L3</f>
        <v>5500</v>
      </c>
      <c r="E32" s="395"/>
      <c r="F32" s="359"/>
    </row>
    <row r="33" spans="1:6" x14ac:dyDescent="0.25">
      <c r="A33" s="358">
        <v>7</v>
      </c>
      <c r="B33" s="247" t="s">
        <v>643</v>
      </c>
      <c r="C33" s="247"/>
      <c r="D33" s="250">
        <v>1000</v>
      </c>
      <c r="E33" s="395"/>
      <c r="F33" s="359"/>
    </row>
    <row r="34" spans="1:6" x14ac:dyDescent="0.25">
      <c r="A34" s="245" t="s">
        <v>579</v>
      </c>
      <c r="B34" s="267"/>
      <c r="C34" s="267"/>
      <c r="D34" s="397">
        <f>SUM(D28:D33)</f>
        <v>18750</v>
      </c>
      <c r="E34" s="240"/>
      <c r="F34" s="246"/>
    </row>
  </sheetData>
  <hyperlinks>
    <hyperlink ref="D34" location="Haushalt!E231" display="Haushalt!E231"/>
  </hyperlinks>
  <pageMargins left="0.7" right="0.7" top="0.78740157499999996" bottom="0.78740157499999996" header="0.3" footer="0.3"/>
  <pageSetup paperSize="9" orientation="portrait" verticalDpi="0"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5"/>
  <sheetViews>
    <sheetView showGridLines="0" zoomScaleNormal="100" workbookViewId="0">
      <selection activeCell="B41" sqref="B41"/>
    </sheetView>
  </sheetViews>
  <sheetFormatPr baseColWidth="10" defaultColWidth="11.42578125" defaultRowHeight="15" outlineLevelRow="2" x14ac:dyDescent="0.25"/>
  <cols>
    <col min="1" max="1" width="10.28515625" customWidth="1"/>
    <col min="2" max="2" width="29.28515625" customWidth="1"/>
    <col min="3" max="3" width="16.42578125" customWidth="1"/>
    <col min="4" max="4" width="15.85546875" customWidth="1"/>
    <col min="5" max="5" width="16" customWidth="1"/>
    <col min="6" max="6" width="14" customWidth="1"/>
    <col min="7" max="7" width="12.85546875" customWidth="1"/>
    <col min="8" max="8" width="13.28515625" customWidth="1"/>
    <col min="9" max="9" width="12.140625" customWidth="1"/>
    <col min="10" max="10" width="13.5703125" customWidth="1"/>
    <col min="11" max="11" width="12" customWidth="1"/>
    <col min="13" max="13" width="11.42578125" customWidth="1"/>
    <col min="14" max="14" width="16" customWidth="1"/>
  </cols>
  <sheetData>
    <row r="1" spans="1:10" ht="18.75" x14ac:dyDescent="0.3">
      <c r="A1" s="11"/>
      <c r="B1" s="7" t="s">
        <v>774</v>
      </c>
    </row>
    <row r="2" spans="1:10" ht="19.5" customHeight="1" thickBot="1" x14ac:dyDescent="0.3"/>
    <row r="3" spans="1:10" s="257" customFormat="1" ht="34.5" customHeight="1" thickBot="1" x14ac:dyDescent="0.3">
      <c r="A3" s="251" t="s">
        <v>2</v>
      </c>
      <c r="B3" s="398" t="s">
        <v>5</v>
      </c>
      <c r="C3" s="399" t="s">
        <v>775</v>
      </c>
      <c r="D3" s="752" t="s">
        <v>776</v>
      </c>
      <c r="E3" s="252" t="s">
        <v>777</v>
      </c>
      <c r="F3" s="253" t="s">
        <v>778</v>
      </c>
      <c r="G3" s="254" t="s">
        <v>779</v>
      </c>
      <c r="H3" s="255" t="s">
        <v>8</v>
      </c>
      <c r="I3" s="256" t="s">
        <v>780</v>
      </c>
      <c r="J3" s="757" t="s">
        <v>781</v>
      </c>
    </row>
    <row r="4" spans="1:10" ht="18.75" customHeight="1" x14ac:dyDescent="0.25">
      <c r="A4" s="208" t="s">
        <v>782</v>
      </c>
      <c r="B4" s="186"/>
      <c r="C4" s="186"/>
      <c r="D4" s="186"/>
      <c r="E4" s="402"/>
      <c r="F4" s="189"/>
      <c r="G4" s="402"/>
      <c r="H4" s="189"/>
      <c r="I4" s="53"/>
      <c r="J4" s="83"/>
    </row>
    <row r="5" spans="1:10" x14ac:dyDescent="0.25">
      <c r="A5" s="190" t="s">
        <v>72</v>
      </c>
      <c r="B5" s="232" t="s">
        <v>673</v>
      </c>
      <c r="C5" s="149"/>
      <c r="D5" s="149"/>
      <c r="E5" s="281">
        <v>56381</v>
      </c>
      <c r="F5" s="172">
        <f>Tabelle4[[#Totals],[Teilnahmebeiträge Fachseminare]]</f>
        <v>56381</v>
      </c>
      <c r="G5" s="171">
        <v>23000</v>
      </c>
      <c r="H5" s="149"/>
      <c r="I5" s="191"/>
      <c r="J5" s="149"/>
    </row>
    <row r="6" spans="1:10" x14ac:dyDescent="0.25">
      <c r="A6" s="190" t="s">
        <v>86</v>
      </c>
      <c r="B6" s="232" t="s">
        <v>674</v>
      </c>
      <c r="C6" s="149"/>
      <c r="D6" s="149"/>
      <c r="E6" s="281">
        <v>0</v>
      </c>
      <c r="F6" s="172">
        <f>Tabelle4[[#Totals],[Teilnahmebeiträge Veranstaltungen]]+Tabelle5[[#Totals],[Teilnahmebeiträge Veranstaltungen]]</f>
        <v>0</v>
      </c>
      <c r="G6" s="171">
        <v>0</v>
      </c>
      <c r="H6" s="149"/>
      <c r="I6" s="191"/>
      <c r="J6" s="149"/>
    </row>
    <row r="7" spans="1:10" ht="15.75" thickBot="1" x14ac:dyDescent="0.3">
      <c r="A7" s="190" t="s">
        <v>93</v>
      </c>
      <c r="B7" s="232" t="s">
        <v>783</v>
      </c>
      <c r="C7" s="149"/>
      <c r="D7" s="149"/>
      <c r="E7" s="281">
        <v>0</v>
      </c>
      <c r="F7" s="173">
        <f>Tabelle4[[#Totals],[Sonstige Einnahmen]]+Tabelle5[[#Totals],[Sonstige Einnahmen]]</f>
        <v>0</v>
      </c>
      <c r="G7" s="171">
        <v>0</v>
      </c>
      <c r="H7" s="149"/>
      <c r="I7" s="191"/>
      <c r="J7" s="149"/>
    </row>
    <row r="8" spans="1:10" ht="15.75" thickBot="1" x14ac:dyDescent="0.3">
      <c r="A8" s="192"/>
      <c r="B8" s="193"/>
      <c r="C8" s="193"/>
      <c r="D8" s="193" t="s">
        <v>579</v>
      </c>
      <c r="E8" s="174">
        <f>SUBTOTAL(9,E5:E7)</f>
        <v>56381</v>
      </c>
      <c r="F8" s="175">
        <f>SUBTOTAL(9,F5:F7)</f>
        <v>56381</v>
      </c>
      <c r="G8" s="174">
        <f>SUBTOTAL(9,G5:G7)</f>
        <v>23000</v>
      </c>
      <c r="H8" s="403"/>
      <c r="I8" s="194"/>
      <c r="J8" s="747"/>
    </row>
    <row r="9" spans="1:10" ht="18.75" customHeight="1" x14ac:dyDescent="0.25">
      <c r="A9" s="195" t="s">
        <v>122</v>
      </c>
      <c r="B9" s="196"/>
      <c r="C9" s="196"/>
      <c r="D9" s="196"/>
      <c r="E9" s="176"/>
      <c r="F9" s="177"/>
      <c r="G9" s="176"/>
      <c r="H9" s="196"/>
      <c r="I9" s="197"/>
      <c r="J9" s="149"/>
    </row>
    <row r="10" spans="1:10" x14ac:dyDescent="0.25">
      <c r="A10" s="198" t="s">
        <v>137</v>
      </c>
      <c r="B10" s="149" t="s">
        <v>784</v>
      </c>
      <c r="C10" s="149"/>
      <c r="D10" s="149"/>
      <c r="E10" s="282">
        <v>9600</v>
      </c>
      <c r="F10" s="179">
        <f>800*12</f>
        <v>9600</v>
      </c>
      <c r="G10" s="178">
        <f>800*12</f>
        <v>9600</v>
      </c>
      <c r="H10" s="149"/>
      <c r="I10" s="191"/>
      <c r="J10" s="149"/>
    </row>
    <row r="11" spans="1:10" x14ac:dyDescent="0.25">
      <c r="A11" s="198" t="s">
        <v>139</v>
      </c>
      <c r="B11" s="232" t="s">
        <v>785</v>
      </c>
      <c r="C11" s="149"/>
      <c r="D11" s="149"/>
      <c r="E11" s="281">
        <v>8600</v>
      </c>
      <c r="F11" s="172">
        <f>Tabelle6[[#Totals],[Aufwandsentschädigungen]]</f>
        <v>8600</v>
      </c>
      <c r="G11" s="171">
        <v>10400</v>
      </c>
      <c r="H11" s="149"/>
      <c r="I11" s="191"/>
      <c r="J11" s="149"/>
    </row>
    <row r="12" spans="1:10" x14ac:dyDescent="0.25">
      <c r="A12" s="198" t="s">
        <v>786</v>
      </c>
      <c r="B12" s="232" t="s">
        <v>787</v>
      </c>
      <c r="C12" s="149"/>
      <c r="D12" s="149"/>
      <c r="E12" s="281">
        <v>15000</v>
      </c>
      <c r="F12" s="172">
        <f>Tabelle6[[#Totals],[Interne Reisekosten]]</f>
        <v>14800</v>
      </c>
      <c r="G12" s="171">
        <v>14000</v>
      </c>
      <c r="H12" s="149"/>
      <c r="I12" s="191"/>
      <c r="J12" s="149"/>
    </row>
    <row r="13" spans="1:10" ht="15" customHeight="1" x14ac:dyDescent="0.25">
      <c r="A13" s="198" t="s">
        <v>273</v>
      </c>
      <c r="B13" s="232" t="s">
        <v>788</v>
      </c>
      <c r="C13" s="199"/>
      <c r="D13" s="199"/>
      <c r="E13" s="281">
        <v>4200</v>
      </c>
      <c r="F13" s="180">
        <f>Tabelle6[[#Totals],[Raum + Unterkunft intern]]</f>
        <v>4452</v>
      </c>
      <c r="G13" s="171">
        <v>3000</v>
      </c>
      <c r="H13" s="199"/>
      <c r="I13" s="201"/>
      <c r="J13" s="149"/>
    </row>
    <row r="14" spans="1:10" x14ac:dyDescent="0.25">
      <c r="A14" s="198" t="s">
        <v>300</v>
      </c>
      <c r="B14" s="234" t="s">
        <v>789</v>
      </c>
      <c r="C14" s="83"/>
      <c r="D14" s="83"/>
      <c r="E14" s="281">
        <v>1000</v>
      </c>
      <c r="F14" s="181">
        <f>Tabelle6[[#Totals],[Repräsentation/Bewirtung intern]]</f>
        <v>920</v>
      </c>
      <c r="G14" s="171">
        <v>200</v>
      </c>
      <c r="H14" s="83"/>
      <c r="I14" s="202"/>
      <c r="J14" s="83"/>
    </row>
    <row r="15" spans="1:10" x14ac:dyDescent="0.25">
      <c r="A15" s="745" t="s">
        <v>348</v>
      </c>
      <c r="B15" s="232" t="s">
        <v>790</v>
      </c>
      <c r="C15" s="149"/>
      <c r="D15" s="149"/>
      <c r="E15" s="738">
        <v>45600</v>
      </c>
      <c r="F15" s="172">
        <f>Tabelle4[[#Totals],[Honorare Dozierende Fachseminare]]</f>
        <v>45600</v>
      </c>
      <c r="G15" s="739">
        <f>45000*0.7</f>
        <v>31499.999999999996</v>
      </c>
      <c r="H15" s="149"/>
      <c r="I15" s="191"/>
      <c r="J15" s="149"/>
    </row>
    <row r="16" spans="1:10" x14ac:dyDescent="0.25">
      <c r="A16" s="745" t="s">
        <v>359</v>
      </c>
      <c r="B16" s="233" t="s">
        <v>329</v>
      </c>
      <c r="C16" s="83"/>
      <c r="D16" s="83"/>
      <c r="E16" s="738">
        <v>2000</v>
      </c>
      <c r="F16" s="746">
        <f>Tabelle5[[#Totals],[Andere Honorare]]</f>
        <v>2000</v>
      </c>
      <c r="G16" s="739">
        <f>45000*0.15</f>
        <v>6750</v>
      </c>
      <c r="H16" s="741"/>
      <c r="I16" s="742"/>
      <c r="J16" s="741"/>
    </row>
    <row r="17" spans="1:11" x14ac:dyDescent="0.25">
      <c r="A17" s="745" t="s">
        <v>370</v>
      </c>
      <c r="B17" s="233" t="s">
        <v>791</v>
      </c>
      <c r="C17" s="83"/>
      <c r="D17" s="83"/>
      <c r="E17" s="738">
        <v>1100</v>
      </c>
      <c r="F17" s="740">
        <f>Tabelle4[[#Totals],[Externe Reisekosten]]</f>
        <v>1100</v>
      </c>
      <c r="G17" s="739">
        <f>45000*0.15</f>
        <v>6750</v>
      </c>
      <c r="H17" s="741"/>
      <c r="I17" s="742"/>
      <c r="J17" s="741"/>
    </row>
    <row r="18" spans="1:11" x14ac:dyDescent="0.25">
      <c r="A18" s="745" t="s">
        <v>377</v>
      </c>
      <c r="B18" s="233" t="s">
        <v>376</v>
      </c>
      <c r="C18" s="83"/>
      <c r="D18" s="83"/>
      <c r="E18" s="738">
        <v>1500</v>
      </c>
      <c r="F18" s="740">
        <f>Tabelle4[[#Totals],[Repräsentation/Bewirtung extern]]+Tabelle5[[#Totals],[Repräsentation/Bewirtung extern]]</f>
        <v>1473</v>
      </c>
      <c r="G18" s="739">
        <v>2100</v>
      </c>
      <c r="H18" s="741"/>
      <c r="I18" s="742"/>
      <c r="J18" s="741"/>
    </row>
    <row r="19" spans="1:11" x14ac:dyDescent="0.25">
      <c r="A19" s="745" t="s">
        <v>389</v>
      </c>
      <c r="B19" s="233" t="s">
        <v>792</v>
      </c>
      <c r="C19" s="83"/>
      <c r="D19" s="83"/>
      <c r="E19" s="738">
        <v>3000</v>
      </c>
      <c r="F19" s="740">
        <f>Tabelle4[[#Totals],[Raum + Unterkunft extern]]+Tabelle5[[#Totals],[Raum + Unterkunft extern]]</f>
        <v>3000</v>
      </c>
      <c r="G19" s="739">
        <v>4000</v>
      </c>
      <c r="H19" s="741"/>
      <c r="I19" s="742"/>
      <c r="J19" s="741"/>
    </row>
    <row r="20" spans="1:11" x14ac:dyDescent="0.25">
      <c r="A20" s="198" t="s">
        <v>399</v>
      </c>
      <c r="B20" s="234" t="s">
        <v>1297</v>
      </c>
      <c r="C20" s="83"/>
      <c r="D20" s="83"/>
      <c r="E20" s="738">
        <v>4000</v>
      </c>
      <c r="F20" s="740">
        <f>Tabelle4[[#Totals],[Verwaltungs- und Druckkosten]]+Tabelle5[[#Totals],[Druckkosten]]</f>
        <v>4018</v>
      </c>
      <c r="G20" s="739">
        <v>0</v>
      </c>
      <c r="H20" s="741"/>
      <c r="I20" s="742"/>
      <c r="J20" s="741"/>
    </row>
    <row r="21" spans="1:11" x14ac:dyDescent="0.25">
      <c r="A21" s="198" t="s">
        <v>411</v>
      </c>
      <c r="B21" s="234" t="s">
        <v>410</v>
      </c>
      <c r="C21" s="83"/>
      <c r="D21" s="83"/>
      <c r="E21" s="281">
        <v>3400</v>
      </c>
      <c r="F21" s="181">
        <f>Tabelle5[[#Totals],[Sonstige Kosten]]</f>
        <v>3400</v>
      </c>
      <c r="G21" s="171">
        <v>4000</v>
      </c>
      <c r="H21" s="83"/>
      <c r="I21" s="202"/>
      <c r="J21" s="83"/>
    </row>
    <row r="22" spans="1:11" ht="15.75" thickBot="1" x14ac:dyDescent="0.3">
      <c r="A22" s="198" t="s">
        <v>440</v>
      </c>
      <c r="B22" s="234" t="s">
        <v>715</v>
      </c>
      <c r="C22" s="83"/>
      <c r="D22" s="83"/>
      <c r="E22" s="283">
        <v>500</v>
      </c>
      <c r="F22" s="183">
        <f>Tabelle5[[#Totals],[Rechtsangelegenheiten]]</f>
        <v>500</v>
      </c>
      <c r="G22" s="182">
        <v>700</v>
      </c>
      <c r="H22" s="83"/>
      <c r="I22" s="202"/>
      <c r="J22" s="83"/>
    </row>
    <row r="23" spans="1:11" ht="15.75" thickBot="1" x14ac:dyDescent="0.3">
      <c r="A23" s="204"/>
      <c r="B23" s="205"/>
      <c r="C23" s="205"/>
      <c r="D23" s="206" t="s">
        <v>579</v>
      </c>
      <c r="E23" s="184">
        <f>SUBTOTAL(109,E10:E22)</f>
        <v>99500</v>
      </c>
      <c r="F23" s="184">
        <f>SUBTOTAL(109,F10:F22)</f>
        <v>99463</v>
      </c>
      <c r="G23" s="184">
        <f>SUBTOTAL(109,G10:G22)</f>
        <v>93000</v>
      </c>
      <c r="H23" s="405"/>
      <c r="I23" s="207"/>
      <c r="J23" s="758"/>
    </row>
    <row r="24" spans="1:11" ht="15.75" thickBot="1" x14ac:dyDescent="0.3">
      <c r="A24" s="80"/>
      <c r="B24" s="79"/>
      <c r="C24" s="79"/>
      <c r="D24" s="79"/>
      <c r="E24" s="79"/>
      <c r="F24" s="79"/>
      <c r="G24" s="79"/>
      <c r="H24" s="79"/>
    </row>
    <row r="25" spans="1:11" ht="16.5" thickBot="1" x14ac:dyDescent="0.3">
      <c r="A25" s="80"/>
      <c r="B25" s="79"/>
      <c r="C25" s="79"/>
      <c r="D25" s="82" t="s">
        <v>793</v>
      </c>
      <c r="E25" s="217">
        <f>E8-Tabelle18[[#Totals],[Freie Eingabe Plan HHJ 22-23]]</f>
        <v>-43119</v>
      </c>
      <c r="F25" s="759">
        <f>F8-Tabelle18[[#Totals],[Rechnung HHJ 22-23]]</f>
        <v>-43082</v>
      </c>
      <c r="G25" s="759">
        <f>G8-Tabelle18[[#Totals],[Freie Eingabe Plan HHJ 21-22]]</f>
        <v>-70000</v>
      </c>
      <c r="H25" s="760"/>
      <c r="I25" s="760"/>
      <c r="J25" s="760"/>
      <c r="K25" s="760"/>
    </row>
    <row r="26" spans="1:11" x14ac:dyDescent="0.25">
      <c r="A26" s="80"/>
      <c r="B26" s="79"/>
      <c r="C26" s="79"/>
      <c r="D26" s="79"/>
      <c r="E26" s="79"/>
      <c r="F26" s="79"/>
      <c r="G26" s="79"/>
      <c r="H26" s="79"/>
    </row>
    <row r="27" spans="1:11" ht="15.75" x14ac:dyDescent="0.25">
      <c r="B27" s="117" t="s">
        <v>794</v>
      </c>
      <c r="C27" s="79"/>
      <c r="D27" s="79"/>
      <c r="E27" s="91"/>
      <c r="F27" s="79"/>
      <c r="G27" s="79"/>
      <c r="H27" s="79"/>
    </row>
    <row r="28" spans="1:11" ht="15.75" x14ac:dyDescent="0.25">
      <c r="B28" s="80" t="s">
        <v>795</v>
      </c>
      <c r="C28" s="79"/>
      <c r="D28" s="79"/>
      <c r="E28" s="91"/>
      <c r="F28" s="79"/>
      <c r="G28" s="79"/>
      <c r="H28" s="79"/>
    </row>
    <row r="29" spans="1:11" x14ac:dyDescent="0.25">
      <c r="B29" s="80" t="s">
        <v>796</v>
      </c>
      <c r="C29" s="83"/>
      <c r="D29" s="83"/>
      <c r="E29" s="92"/>
      <c r="F29" s="83"/>
      <c r="G29" s="83"/>
      <c r="H29" s="83"/>
    </row>
    <row r="30" spans="1:11" x14ac:dyDescent="0.25">
      <c r="A30" s="81"/>
      <c r="B30" s="83"/>
      <c r="C30" s="83"/>
      <c r="D30" s="83"/>
      <c r="E30" s="92"/>
      <c r="F30" s="83"/>
      <c r="G30" s="83"/>
      <c r="H30" s="83"/>
    </row>
    <row r="31" spans="1:11" x14ac:dyDescent="0.25">
      <c r="A31" s="80"/>
      <c r="B31" s="79"/>
      <c r="C31" s="79"/>
      <c r="D31" s="79"/>
      <c r="E31" s="79"/>
      <c r="F31" s="79"/>
      <c r="G31" s="79"/>
      <c r="H31" s="79"/>
    </row>
    <row r="32" spans="1:11" ht="15.75" x14ac:dyDescent="0.25">
      <c r="A32" s="7"/>
      <c r="B32" s="7" t="s">
        <v>1291</v>
      </c>
      <c r="D32" s="6" t="s">
        <v>797</v>
      </c>
    </row>
    <row r="33" spans="1:14" ht="16.5" thickBot="1" x14ac:dyDescent="0.3">
      <c r="A33" s="7"/>
    </row>
    <row r="34" spans="1:14" ht="15.75" thickBot="1" x14ac:dyDescent="0.3">
      <c r="A34" s="408"/>
      <c r="B34" s="409" t="s">
        <v>679</v>
      </c>
      <c r="C34" s="410" t="s">
        <v>72</v>
      </c>
      <c r="D34" s="411"/>
      <c r="E34" s="411" t="s">
        <v>93</v>
      </c>
      <c r="F34" s="412" t="s">
        <v>348</v>
      </c>
      <c r="G34" s="412"/>
      <c r="H34" s="412" t="s">
        <v>370</v>
      </c>
      <c r="I34" s="412" t="s">
        <v>377</v>
      </c>
      <c r="J34" s="412" t="s">
        <v>389</v>
      </c>
      <c r="K34" s="412" t="s">
        <v>399</v>
      </c>
      <c r="L34" s="761"/>
    </row>
    <row r="35" spans="1:14" ht="39.75" thickBot="1" x14ac:dyDescent="0.3">
      <c r="A35" s="98" t="s">
        <v>798</v>
      </c>
      <c r="B35" s="142" t="s">
        <v>799</v>
      </c>
      <c r="C35" s="414" t="s">
        <v>800</v>
      </c>
      <c r="D35" s="415" t="s">
        <v>674</v>
      </c>
      <c r="E35" s="415" t="s">
        <v>801</v>
      </c>
      <c r="F35" s="415" t="s">
        <v>326</v>
      </c>
      <c r="G35" s="415" t="s">
        <v>806</v>
      </c>
      <c r="H35" s="415" t="s">
        <v>333</v>
      </c>
      <c r="I35" s="415" t="s">
        <v>802</v>
      </c>
      <c r="J35" s="415" t="s">
        <v>803</v>
      </c>
      <c r="K35" s="415" t="s">
        <v>1290</v>
      </c>
      <c r="L35" s="762" t="s">
        <v>630</v>
      </c>
    </row>
    <row r="36" spans="1:14" s="84" customFormat="1" ht="409.5" outlineLevel="2" x14ac:dyDescent="0.25">
      <c r="A36" s="93">
        <f t="shared" ref="A36:A43" si="0">ROW(A1)</f>
        <v>1</v>
      </c>
      <c r="B36" s="750" t="s">
        <v>1353</v>
      </c>
      <c r="C36" s="417"/>
      <c r="D36" s="320"/>
      <c r="E36" s="320"/>
      <c r="F36" s="320"/>
      <c r="G36" s="320"/>
      <c r="H36" s="320"/>
      <c r="I36" s="320"/>
      <c r="J36" s="320"/>
      <c r="K36" s="320"/>
      <c r="L36" s="325">
        <f t="shared" ref="L36:L44" si="1">SUM(C36:E36)-SUM(F36:K36)</f>
        <v>0</v>
      </c>
      <c r="N36" s="749" t="s">
        <v>1298</v>
      </c>
    </row>
    <row r="37" spans="1:14" s="84" customFormat="1" ht="135" outlineLevel="2" x14ac:dyDescent="0.25">
      <c r="A37" s="93">
        <f t="shared" si="0"/>
        <v>2</v>
      </c>
      <c r="B37" s="736" t="s">
        <v>1354</v>
      </c>
      <c r="C37" s="118">
        <v>10818</v>
      </c>
      <c r="D37" s="119"/>
      <c r="E37" s="119"/>
      <c r="F37" s="119">
        <v>9600</v>
      </c>
      <c r="G37" s="119">
        <f>12*45</f>
        <v>540</v>
      </c>
      <c r="H37" s="119"/>
      <c r="I37" s="119">
        <f>12*9.5</f>
        <v>114</v>
      </c>
      <c r="J37" s="119"/>
      <c r="K37" s="119">
        <v>564</v>
      </c>
      <c r="L37" s="120">
        <f t="shared" si="1"/>
        <v>0</v>
      </c>
    </row>
    <row r="38" spans="1:14" s="84" customFormat="1" ht="90" outlineLevel="2" x14ac:dyDescent="0.25">
      <c r="A38" s="93">
        <f t="shared" si="0"/>
        <v>3</v>
      </c>
      <c r="B38" s="737" t="s">
        <v>1355</v>
      </c>
      <c r="C38" s="118">
        <v>10818</v>
      </c>
      <c r="D38" s="119"/>
      <c r="E38" s="119"/>
      <c r="F38" s="119">
        <v>9600</v>
      </c>
      <c r="G38" s="119">
        <v>540</v>
      </c>
      <c r="H38" s="119"/>
      <c r="I38" s="119">
        <v>114</v>
      </c>
      <c r="J38" s="119"/>
      <c r="K38" s="119">
        <v>564</v>
      </c>
      <c r="L38" s="120">
        <f t="shared" si="1"/>
        <v>0</v>
      </c>
    </row>
    <row r="39" spans="1:14" s="84" customFormat="1" ht="105" outlineLevel="2" x14ac:dyDescent="0.25">
      <c r="A39" s="93">
        <f t="shared" si="0"/>
        <v>4</v>
      </c>
      <c r="B39" s="737" t="s">
        <v>1356</v>
      </c>
      <c r="C39" s="118">
        <v>9015</v>
      </c>
      <c r="D39" s="119"/>
      <c r="E39" s="119"/>
      <c r="F39" s="119">
        <v>8000</v>
      </c>
      <c r="G39" s="119">
        <v>450</v>
      </c>
      <c r="H39" s="119"/>
      <c r="I39" s="119">
        <v>95</v>
      </c>
      <c r="J39" s="119"/>
      <c r="K39" s="119">
        <v>470</v>
      </c>
      <c r="L39" s="120">
        <f t="shared" si="1"/>
        <v>0</v>
      </c>
    </row>
    <row r="40" spans="1:14" s="84" customFormat="1" ht="240" outlineLevel="2" x14ac:dyDescent="0.25">
      <c r="A40" s="93">
        <f t="shared" si="0"/>
        <v>5</v>
      </c>
      <c r="B40" s="737" t="s">
        <v>1357</v>
      </c>
      <c r="C40" s="118">
        <v>9015</v>
      </c>
      <c r="D40" s="119"/>
      <c r="E40" s="119"/>
      <c r="F40" s="119">
        <v>8000</v>
      </c>
      <c r="G40" s="119">
        <v>450</v>
      </c>
      <c r="H40" s="119"/>
      <c r="I40" s="119">
        <v>95</v>
      </c>
      <c r="J40" s="119"/>
      <c r="K40" s="119">
        <v>470</v>
      </c>
      <c r="L40" s="120">
        <f t="shared" si="1"/>
        <v>0</v>
      </c>
    </row>
    <row r="41" spans="1:14" s="84" customFormat="1" ht="255" outlineLevel="2" x14ac:dyDescent="0.25">
      <c r="A41" s="93">
        <f t="shared" si="0"/>
        <v>6</v>
      </c>
      <c r="B41" s="737" t="s">
        <v>1296</v>
      </c>
      <c r="C41" s="118">
        <v>13415</v>
      </c>
      <c r="D41" s="119"/>
      <c r="E41" s="119"/>
      <c r="F41" s="119">
        <v>8000</v>
      </c>
      <c r="G41" s="119">
        <v>570</v>
      </c>
      <c r="H41" s="119">
        <v>1000</v>
      </c>
      <c r="I41" s="119">
        <v>395</v>
      </c>
      <c r="J41" s="119">
        <v>2000</v>
      </c>
      <c r="K41" s="119">
        <v>450</v>
      </c>
      <c r="L41" s="120">
        <f t="shared" si="1"/>
        <v>1000</v>
      </c>
    </row>
    <row r="42" spans="1:14" s="84" customFormat="1" outlineLevel="2" x14ac:dyDescent="0.25">
      <c r="A42" s="93">
        <f t="shared" si="0"/>
        <v>7</v>
      </c>
      <c r="B42" s="733"/>
      <c r="C42" s="118"/>
      <c r="D42" s="119"/>
      <c r="E42" s="119"/>
      <c r="F42" s="119"/>
      <c r="G42" s="119"/>
      <c r="H42" s="119"/>
      <c r="I42" s="119"/>
      <c r="J42" s="119"/>
      <c r="K42" s="119"/>
      <c r="L42" s="120">
        <f t="shared" si="1"/>
        <v>0</v>
      </c>
    </row>
    <row r="43" spans="1:14" s="84" customFormat="1" outlineLevel="2" x14ac:dyDescent="0.25">
      <c r="A43" s="93">
        <f t="shared" si="0"/>
        <v>8</v>
      </c>
      <c r="B43" s="735" t="s">
        <v>654</v>
      </c>
      <c r="C43" s="118">
        <v>3300</v>
      </c>
      <c r="D43" s="119"/>
      <c r="E43" s="119"/>
      <c r="F43" s="119">
        <v>2400</v>
      </c>
      <c r="G43" s="119"/>
      <c r="H43" s="119">
        <v>100</v>
      </c>
      <c r="I43" s="119">
        <v>200</v>
      </c>
      <c r="J43" s="119">
        <v>500</v>
      </c>
      <c r="K43" s="119">
        <v>100</v>
      </c>
      <c r="L43" s="120">
        <f t="shared" si="1"/>
        <v>0</v>
      </c>
    </row>
    <row r="44" spans="1:14" s="84" customFormat="1" ht="15.75" outlineLevel="2" thickBot="1" x14ac:dyDescent="0.3">
      <c r="A44" s="93"/>
      <c r="B44" s="734"/>
      <c r="C44" s="118"/>
      <c r="D44" s="119"/>
      <c r="E44" s="119"/>
      <c r="F44" s="119"/>
      <c r="G44" s="119"/>
      <c r="H44" s="119"/>
      <c r="I44" s="119"/>
      <c r="J44" s="119"/>
      <c r="K44" s="119"/>
      <c r="L44" s="120">
        <f t="shared" si="1"/>
        <v>0</v>
      </c>
    </row>
    <row r="45" spans="1:14" s="101" customFormat="1" ht="20.25" customHeight="1" thickBot="1" x14ac:dyDescent="0.25">
      <c r="A45" s="99"/>
      <c r="B45" s="100" t="s">
        <v>754</v>
      </c>
      <c r="C45" s="314">
        <f>SUBTOTAL(9,Tabelle4[Teilnahmebeiträge Fachseminare])</f>
        <v>56381</v>
      </c>
      <c r="D45" s="418">
        <f>SUBTOTAL(9,Tabelle4[Teilnahmebeiträge Veranstaltungen])</f>
        <v>0</v>
      </c>
      <c r="E45" s="418">
        <f>SUBTOTAL(9,Tabelle4[Sonstige Einnahmen])</f>
        <v>0</v>
      </c>
      <c r="F45" s="419">
        <f>SUBTOTAL(9,Tabelle4[Honorare Dozierende Fachseminare])</f>
        <v>45600</v>
      </c>
      <c r="G45" s="419">
        <f>SUBTOTAL(9,Tabelle4[Aufwandsentschädigungen])</f>
        <v>2550</v>
      </c>
      <c r="H45" s="419">
        <f>SUBTOTAL(9,Tabelle4[Externe Reisekosten])</f>
        <v>1100</v>
      </c>
      <c r="I45" s="419">
        <f>SUBTOTAL(9,Tabelle4[Repräsentation/Bewirtung extern])</f>
        <v>1013</v>
      </c>
      <c r="J45" s="419">
        <f>SUBTOTAL(9,Tabelle4[Raum + Unterkunft extern])</f>
        <v>2500</v>
      </c>
      <c r="K45" s="419">
        <f>SUBTOTAL(9,Tabelle4[Verwaltungs- und Druckkosten])</f>
        <v>2618</v>
      </c>
      <c r="L45" s="756">
        <f>SUBTOTAL(9,Tabelle4[Gesamt])</f>
        <v>1000</v>
      </c>
    </row>
    <row r="46" spans="1:14" ht="15" customHeight="1" x14ac:dyDescent="0.3">
      <c r="A46" s="11"/>
    </row>
    <row r="47" spans="1:14" s="78" customFormat="1" ht="15.75" x14ac:dyDescent="0.25">
      <c r="A47" s="7"/>
      <c r="B47" s="7" t="s">
        <v>804</v>
      </c>
      <c r="D47" s="6" t="s">
        <v>797</v>
      </c>
    </row>
    <row r="48" spans="1:14" ht="15.75" customHeight="1" thickBot="1" x14ac:dyDescent="0.35">
      <c r="A48" s="11"/>
    </row>
    <row r="49" spans="1:15" ht="15.75" thickBot="1" x14ac:dyDescent="0.3">
      <c r="A49" s="103"/>
      <c r="B49" s="145" t="s">
        <v>679</v>
      </c>
      <c r="C49" s="94" t="s">
        <v>86</v>
      </c>
      <c r="D49" s="95" t="s">
        <v>93</v>
      </c>
      <c r="E49" s="96" t="s">
        <v>139</v>
      </c>
      <c r="F49" s="96" t="s">
        <v>247</v>
      </c>
      <c r="G49" s="96" t="s">
        <v>273</v>
      </c>
      <c r="H49" s="96" t="s">
        <v>300</v>
      </c>
      <c r="I49" s="96" t="s">
        <v>377</v>
      </c>
      <c r="J49" s="96" t="s">
        <v>389</v>
      </c>
      <c r="K49" s="96" t="s">
        <v>399</v>
      </c>
      <c r="L49" s="96" t="s">
        <v>411</v>
      </c>
      <c r="M49" s="96" t="s">
        <v>440</v>
      </c>
      <c r="N49" s="743" t="s">
        <v>359</v>
      </c>
      <c r="O49" s="97"/>
    </row>
    <row r="50" spans="1:15" ht="39.75" thickBot="1" x14ac:dyDescent="0.3">
      <c r="A50" s="104" t="s">
        <v>798</v>
      </c>
      <c r="B50" s="102" t="s">
        <v>805</v>
      </c>
      <c r="C50" s="105" t="s">
        <v>674</v>
      </c>
      <c r="D50" s="102" t="s">
        <v>801</v>
      </c>
      <c r="E50" s="102" t="s">
        <v>806</v>
      </c>
      <c r="F50" s="102" t="s">
        <v>667</v>
      </c>
      <c r="G50" s="102" t="s">
        <v>807</v>
      </c>
      <c r="H50" s="102" t="s">
        <v>808</v>
      </c>
      <c r="I50" s="102" t="s">
        <v>802</v>
      </c>
      <c r="J50" s="102" t="s">
        <v>803</v>
      </c>
      <c r="K50" s="102" t="s">
        <v>342</v>
      </c>
      <c r="L50" s="102" t="s">
        <v>321</v>
      </c>
      <c r="M50" s="102" t="s">
        <v>715</v>
      </c>
      <c r="N50" s="102" t="s">
        <v>329</v>
      </c>
      <c r="O50" s="106" t="s">
        <v>630</v>
      </c>
    </row>
    <row r="51" spans="1:15" s="84" customFormat="1" outlineLevel="1" x14ac:dyDescent="0.25">
      <c r="A51" s="284">
        <f t="shared" ref="A51:A61" si="2">ROW(A1)</f>
        <v>1</v>
      </c>
      <c r="B51" s="285" t="s">
        <v>809</v>
      </c>
      <c r="C51" s="420">
        <v>0</v>
      </c>
      <c r="D51" s="421">
        <v>0</v>
      </c>
      <c r="E51" s="421"/>
      <c r="F51" s="421"/>
      <c r="G51" s="421"/>
      <c r="H51" s="421"/>
      <c r="I51" s="421"/>
      <c r="J51" s="421"/>
      <c r="K51" s="421"/>
      <c r="L51" s="421">
        <v>160</v>
      </c>
      <c r="M51" s="421"/>
      <c r="N51" s="421"/>
      <c r="O51" s="312">
        <f t="shared" ref="O51:O61" si="3">SUM(C51+D51)-SUM(E51:M51)</f>
        <v>-160</v>
      </c>
    </row>
    <row r="52" spans="1:15" s="84" customFormat="1" outlineLevel="1" x14ac:dyDescent="0.25">
      <c r="A52" s="284">
        <f t="shared" si="2"/>
        <v>2</v>
      </c>
      <c r="B52" s="326" t="s">
        <v>810</v>
      </c>
      <c r="C52" s="127"/>
      <c r="D52" s="128"/>
      <c r="E52" s="128">
        <v>500</v>
      </c>
      <c r="F52" s="128">
        <v>1200</v>
      </c>
      <c r="G52" s="128">
        <v>300</v>
      </c>
      <c r="H52" s="128">
        <v>100</v>
      </c>
      <c r="I52" s="128">
        <v>200</v>
      </c>
      <c r="J52" s="128"/>
      <c r="K52" s="128">
        <v>100</v>
      </c>
      <c r="L52" s="128">
        <v>500</v>
      </c>
      <c r="M52" s="128"/>
      <c r="N52" s="128"/>
      <c r="O52" s="292">
        <f t="shared" si="3"/>
        <v>-2900</v>
      </c>
    </row>
    <row r="53" spans="1:15" s="84" customFormat="1" outlineLevel="1" x14ac:dyDescent="0.25">
      <c r="A53" s="284">
        <f t="shared" si="2"/>
        <v>3</v>
      </c>
      <c r="B53" s="285"/>
      <c r="C53" s="286"/>
      <c r="D53" s="287"/>
      <c r="E53" s="287"/>
      <c r="F53" s="287"/>
      <c r="G53" s="287"/>
      <c r="H53" s="287"/>
      <c r="I53" s="287"/>
      <c r="J53" s="287"/>
      <c r="K53" s="287"/>
      <c r="L53" s="287"/>
      <c r="M53" s="287">
        <v>0</v>
      </c>
      <c r="N53" s="287"/>
      <c r="O53" s="292">
        <f t="shared" si="3"/>
        <v>0</v>
      </c>
    </row>
    <row r="54" spans="1:15" s="84" customFormat="1" outlineLevel="1" x14ac:dyDescent="0.25">
      <c r="A54" s="284">
        <f t="shared" si="2"/>
        <v>4</v>
      </c>
      <c r="B54" s="285" t="s">
        <v>811</v>
      </c>
      <c r="C54" s="286"/>
      <c r="D54" s="287"/>
      <c r="E54" s="287"/>
      <c r="F54" s="287"/>
      <c r="G54" s="287"/>
      <c r="H54" s="287"/>
      <c r="I54" s="287"/>
      <c r="J54" s="287"/>
      <c r="K54" s="287">
        <v>300</v>
      </c>
      <c r="L54" s="287">
        <v>100</v>
      </c>
      <c r="M54" s="287"/>
      <c r="N54" s="287"/>
      <c r="O54" s="292">
        <f t="shared" si="3"/>
        <v>-400</v>
      </c>
    </row>
    <row r="55" spans="1:15" s="84" customFormat="1" outlineLevel="1" x14ac:dyDescent="0.25">
      <c r="A55" s="284">
        <f t="shared" si="2"/>
        <v>5</v>
      </c>
      <c r="B55" s="285" t="s">
        <v>812</v>
      </c>
      <c r="C55" s="286"/>
      <c r="D55" s="287"/>
      <c r="E55" s="287">
        <v>640</v>
      </c>
      <c r="F55" s="287">
        <v>1200</v>
      </c>
      <c r="G55" s="287">
        <v>400</v>
      </c>
      <c r="H55" s="287"/>
      <c r="I55" s="287">
        <v>60</v>
      </c>
      <c r="J55" s="287"/>
      <c r="K55" s="287"/>
      <c r="L55" s="287">
        <v>640</v>
      </c>
      <c r="M55" s="287"/>
      <c r="N55" s="287"/>
      <c r="O55" s="292">
        <f t="shared" si="3"/>
        <v>-2940</v>
      </c>
    </row>
    <row r="56" spans="1:15" s="84" customFormat="1" outlineLevel="1" x14ac:dyDescent="0.25">
      <c r="A56" s="284">
        <f t="shared" si="2"/>
        <v>6</v>
      </c>
      <c r="B56" s="285"/>
      <c r="C56" s="286"/>
      <c r="D56" s="287"/>
      <c r="E56" s="287"/>
      <c r="F56" s="287"/>
      <c r="G56" s="287"/>
      <c r="H56" s="287"/>
      <c r="I56" s="287"/>
      <c r="J56" s="287"/>
      <c r="K56" s="287"/>
      <c r="L56" s="287"/>
      <c r="M56" s="287"/>
      <c r="N56" s="287"/>
      <c r="O56" s="292">
        <f t="shared" si="3"/>
        <v>0</v>
      </c>
    </row>
    <row r="57" spans="1:15" s="84" customFormat="1" outlineLevel="1" x14ac:dyDescent="0.25">
      <c r="A57" s="284">
        <f t="shared" si="2"/>
        <v>7</v>
      </c>
      <c r="B57" s="285"/>
      <c r="C57" s="286"/>
      <c r="D57" s="287"/>
      <c r="E57" s="287"/>
      <c r="F57" s="287"/>
      <c r="G57" s="287"/>
      <c r="H57" s="287"/>
      <c r="I57" s="287"/>
      <c r="J57" s="287"/>
      <c r="K57" s="287"/>
      <c r="L57" s="287"/>
      <c r="M57" s="287"/>
      <c r="N57" s="287"/>
      <c r="O57" s="292">
        <f t="shared" si="3"/>
        <v>0</v>
      </c>
    </row>
    <row r="58" spans="1:15" s="84" customFormat="1" outlineLevel="1" x14ac:dyDescent="0.25">
      <c r="A58" s="284">
        <f t="shared" si="2"/>
        <v>8</v>
      </c>
      <c r="B58" s="285"/>
      <c r="C58" s="286"/>
      <c r="D58" s="287"/>
      <c r="E58" s="287"/>
      <c r="F58" s="287"/>
      <c r="G58" s="287"/>
      <c r="H58" s="287"/>
      <c r="I58" s="287"/>
      <c r="J58" s="287"/>
      <c r="K58" s="287"/>
      <c r="L58" s="287"/>
      <c r="M58" s="287"/>
      <c r="N58" s="287"/>
      <c r="O58" s="292">
        <f t="shared" si="3"/>
        <v>0</v>
      </c>
    </row>
    <row r="59" spans="1:15" s="84" customFormat="1" outlineLevel="1" x14ac:dyDescent="0.25">
      <c r="A59" s="284">
        <f t="shared" si="2"/>
        <v>9</v>
      </c>
      <c r="B59" s="285"/>
      <c r="C59" s="286"/>
      <c r="D59" s="287"/>
      <c r="E59" s="287"/>
      <c r="F59" s="287"/>
      <c r="G59" s="287"/>
      <c r="H59" s="287"/>
      <c r="I59" s="287"/>
      <c r="J59" s="287"/>
      <c r="K59" s="287"/>
      <c r="L59" s="287"/>
      <c r="M59" s="287"/>
      <c r="N59" s="287"/>
      <c r="O59" s="292">
        <f t="shared" si="3"/>
        <v>0</v>
      </c>
    </row>
    <row r="60" spans="1:15" s="84" customFormat="1" outlineLevel="1" x14ac:dyDescent="0.25">
      <c r="A60" s="284">
        <f t="shared" si="2"/>
        <v>10</v>
      </c>
      <c r="B60" s="285"/>
      <c r="C60" s="286"/>
      <c r="D60" s="287"/>
      <c r="E60" s="287"/>
      <c r="F60" s="287"/>
      <c r="G60" s="287"/>
      <c r="H60" s="287"/>
      <c r="I60" s="287"/>
      <c r="J60" s="287"/>
      <c r="K60" s="287"/>
      <c r="L60" s="287"/>
      <c r="M60" s="287"/>
      <c r="N60" s="287"/>
      <c r="O60" s="292">
        <f t="shared" si="3"/>
        <v>0</v>
      </c>
    </row>
    <row r="61" spans="1:15" ht="15.75" outlineLevel="1" thickBot="1" x14ac:dyDescent="0.3">
      <c r="A61" s="107">
        <f t="shared" si="2"/>
        <v>11</v>
      </c>
      <c r="B61" s="108" t="s">
        <v>629</v>
      </c>
      <c r="C61" s="129">
        <v>0</v>
      </c>
      <c r="D61" s="130">
        <v>0</v>
      </c>
      <c r="E61" s="130">
        <v>1400</v>
      </c>
      <c r="F61" s="130">
        <v>2500</v>
      </c>
      <c r="G61" s="130">
        <v>800</v>
      </c>
      <c r="H61" s="130">
        <v>200</v>
      </c>
      <c r="I61" s="130">
        <v>200</v>
      </c>
      <c r="J61" s="130">
        <v>500</v>
      </c>
      <c r="K61" s="130">
        <v>1000</v>
      </c>
      <c r="L61" s="130">
        <v>2000</v>
      </c>
      <c r="M61" s="130">
        <v>500</v>
      </c>
      <c r="N61" s="744">
        <v>2000</v>
      </c>
      <c r="O61" s="294">
        <f t="shared" si="3"/>
        <v>-9100</v>
      </c>
    </row>
    <row r="62" spans="1:15" ht="23.25" customHeight="1" thickBot="1" x14ac:dyDescent="0.3">
      <c r="A62" s="109"/>
      <c r="B62" s="110" t="s">
        <v>754</v>
      </c>
      <c r="C62" s="314">
        <f>SUBTOTAL(9,Tabelle5[Teilnahmebeiträge Veranstaltungen])</f>
        <v>0</v>
      </c>
      <c r="D62" s="418">
        <f>SUBTOTAL(9,Tabelle5[Sonstige Einnahmen])</f>
        <v>0</v>
      </c>
      <c r="E62" s="419">
        <f>SUBTOTAL(9,Tabelle5[Aufwandsentschädigungen])</f>
        <v>2540</v>
      </c>
      <c r="F62" s="419">
        <f>SUBTOTAL(9,Tabelle5[Interne Reisekosten])</f>
        <v>4900</v>
      </c>
      <c r="G62" s="419">
        <f>SUBTOTAL(9,Tabelle5[Raum + Unterkunft intern])</f>
        <v>1500</v>
      </c>
      <c r="H62" s="419">
        <f>SUBTOTAL(9,Tabelle5[Repräsentation/Bewirtung intern])</f>
        <v>300</v>
      </c>
      <c r="I62" s="419">
        <f>SUBTOTAL(9,Tabelle5[Repräsentation/Bewirtung extern])</f>
        <v>460</v>
      </c>
      <c r="J62" s="419">
        <f>SUBTOTAL(9,Tabelle5[Raum + Unterkunft extern])</f>
        <v>500</v>
      </c>
      <c r="K62" s="419">
        <f>SUBTOTAL(9,Tabelle5[Druckkosten])</f>
        <v>1400</v>
      </c>
      <c r="L62" s="419">
        <f>SUBTOTAL(9,Tabelle5[Sonstige Kosten])</f>
        <v>3400</v>
      </c>
      <c r="M62" s="419">
        <f>SUBTOTAL(9,Tabelle5[Rechtsangelegenheiten])</f>
        <v>500</v>
      </c>
      <c r="N62" s="419">
        <f>SUBTOTAL(109,Tabelle5[Andere Honorare])</f>
        <v>2000</v>
      </c>
      <c r="O62" s="763">
        <f>SUBTOTAL(9,Tabelle5[Gesamt])</f>
        <v>-15500</v>
      </c>
    </row>
    <row r="63" spans="1:15" ht="18.75" x14ac:dyDescent="0.3">
      <c r="A63" s="11"/>
    </row>
    <row r="64" spans="1:15" ht="15.75" x14ac:dyDescent="0.25">
      <c r="A64" s="7"/>
      <c r="B64" s="7" t="s">
        <v>813</v>
      </c>
      <c r="D64" s="6" t="s">
        <v>797</v>
      </c>
    </row>
    <row r="65" spans="1:9" ht="19.5" thickBot="1" x14ac:dyDescent="0.35">
      <c r="A65" s="11"/>
    </row>
    <row r="66" spans="1:9" ht="16.5" thickTop="1" thickBot="1" x14ac:dyDescent="0.3">
      <c r="A66" s="111"/>
      <c r="B66" s="143"/>
      <c r="C66" s="144"/>
      <c r="D66" s="147" t="s">
        <v>679</v>
      </c>
      <c r="E66" s="112" t="s">
        <v>139</v>
      </c>
      <c r="F66" s="113" t="s">
        <v>247</v>
      </c>
      <c r="G66" s="113" t="s">
        <v>273</v>
      </c>
      <c r="H66" s="113" t="s">
        <v>300</v>
      </c>
      <c r="I66" s="114"/>
    </row>
    <row r="67" spans="1:9" ht="39.75" thickBot="1" x14ac:dyDescent="0.3">
      <c r="A67" s="115" t="s">
        <v>814</v>
      </c>
      <c r="B67" s="115" t="s">
        <v>815</v>
      </c>
      <c r="C67" s="146" t="s">
        <v>816</v>
      </c>
      <c r="D67" s="115" t="s">
        <v>556</v>
      </c>
      <c r="E67" s="414" t="s">
        <v>806</v>
      </c>
      <c r="F67" s="415" t="s">
        <v>667</v>
      </c>
      <c r="G67" s="415" t="s">
        <v>807</v>
      </c>
      <c r="H67" s="415" t="s">
        <v>808</v>
      </c>
      <c r="I67" s="762" t="s">
        <v>630</v>
      </c>
    </row>
    <row r="68" spans="1:9" s="84" customFormat="1" ht="115.5" outlineLevel="1" x14ac:dyDescent="0.25">
      <c r="A68" s="288">
        <f t="shared" ref="A68:A84" si="4">ROW(A1)</f>
        <v>1</v>
      </c>
      <c r="B68" s="326" t="s">
        <v>1292</v>
      </c>
      <c r="C68" s="101"/>
      <c r="D68" s="326"/>
      <c r="E68" s="422"/>
      <c r="F68" s="317"/>
      <c r="G68" s="317"/>
      <c r="H68" s="317"/>
      <c r="I68" s="312">
        <f t="shared" ref="I68:I75" si="5">SUM(E68:H68)</f>
        <v>0</v>
      </c>
    </row>
    <row r="69" spans="1:9" s="84" customFormat="1" outlineLevel="1" x14ac:dyDescent="0.25">
      <c r="A69" s="288">
        <f t="shared" si="4"/>
        <v>2</v>
      </c>
      <c r="B69" s="101" t="s">
        <v>817</v>
      </c>
      <c r="C69" s="101" t="s">
        <v>818</v>
      </c>
      <c r="D69" s="101" t="s">
        <v>828</v>
      </c>
      <c r="E69" s="127">
        <v>400</v>
      </c>
      <c r="F69" s="128">
        <v>0</v>
      </c>
      <c r="G69" s="128">
        <v>0</v>
      </c>
      <c r="H69" s="128">
        <v>0</v>
      </c>
      <c r="I69" s="292">
        <f t="shared" si="5"/>
        <v>400</v>
      </c>
    </row>
    <row r="70" spans="1:9" s="84" customFormat="1" outlineLevel="1" x14ac:dyDescent="0.25">
      <c r="A70" s="288">
        <f t="shared" si="4"/>
        <v>3</v>
      </c>
      <c r="B70" s="101" t="s">
        <v>817</v>
      </c>
      <c r="C70" s="101" t="s">
        <v>818</v>
      </c>
      <c r="D70" s="101" t="s">
        <v>822</v>
      </c>
      <c r="E70" s="127">
        <v>800</v>
      </c>
      <c r="F70" s="128">
        <v>1500</v>
      </c>
      <c r="G70" s="128">
        <v>384</v>
      </c>
      <c r="H70" s="128">
        <v>100</v>
      </c>
      <c r="I70" s="292">
        <f t="shared" si="5"/>
        <v>2784</v>
      </c>
    </row>
    <row r="71" spans="1:9" s="84" customFormat="1" outlineLevel="1" x14ac:dyDescent="0.25">
      <c r="A71" s="288">
        <f t="shared" si="4"/>
        <v>4</v>
      </c>
      <c r="B71" s="101" t="s">
        <v>817</v>
      </c>
      <c r="C71" s="101" t="s">
        <v>818</v>
      </c>
      <c r="D71" s="101" t="s">
        <v>819</v>
      </c>
      <c r="E71" s="127">
        <v>600</v>
      </c>
      <c r="F71" s="128">
        <v>750</v>
      </c>
      <c r="G71" s="128">
        <v>192</v>
      </c>
      <c r="H71" s="128">
        <v>50</v>
      </c>
      <c r="I71" s="292">
        <f t="shared" si="5"/>
        <v>1592</v>
      </c>
    </row>
    <row r="72" spans="1:9" s="84" customFormat="1" outlineLevel="1" x14ac:dyDescent="0.25">
      <c r="A72" s="288">
        <f t="shared" si="4"/>
        <v>5</v>
      </c>
      <c r="B72" s="101" t="s">
        <v>1293</v>
      </c>
      <c r="C72" s="101" t="s">
        <v>818</v>
      </c>
      <c r="D72" s="101" t="s">
        <v>819</v>
      </c>
      <c r="E72" s="127">
        <v>1800</v>
      </c>
      <c r="F72" s="128">
        <v>2250</v>
      </c>
      <c r="G72" s="128">
        <v>576</v>
      </c>
      <c r="H72" s="128">
        <v>150</v>
      </c>
      <c r="I72" s="292">
        <f t="shared" si="5"/>
        <v>4776</v>
      </c>
    </row>
    <row r="73" spans="1:9" s="84" customFormat="1" ht="77.25" outlineLevel="1" x14ac:dyDescent="0.25">
      <c r="A73" s="288">
        <f t="shared" si="4"/>
        <v>6</v>
      </c>
      <c r="B73" s="326" t="s">
        <v>1294</v>
      </c>
      <c r="C73" s="101" t="s">
        <v>818</v>
      </c>
      <c r="D73" s="101" t="s">
        <v>819</v>
      </c>
      <c r="E73" s="127">
        <v>1000</v>
      </c>
      <c r="F73" s="128">
        <v>1000</v>
      </c>
      <c r="G73" s="128">
        <v>500</v>
      </c>
      <c r="H73" s="128">
        <v>100</v>
      </c>
      <c r="I73" s="292">
        <f t="shared" si="5"/>
        <v>2600</v>
      </c>
    </row>
    <row r="74" spans="1:9" s="84" customFormat="1" outlineLevel="1" x14ac:dyDescent="0.25">
      <c r="A74" s="288">
        <f t="shared" si="4"/>
        <v>7</v>
      </c>
      <c r="B74" s="101" t="s">
        <v>820</v>
      </c>
      <c r="C74" s="101" t="s">
        <v>821</v>
      </c>
      <c r="D74" s="101" t="s">
        <v>822</v>
      </c>
      <c r="E74" s="127">
        <v>800</v>
      </c>
      <c r="F74" s="128">
        <v>2000</v>
      </c>
      <c r="G74" s="128">
        <v>1100</v>
      </c>
      <c r="H74" s="128">
        <v>200</v>
      </c>
      <c r="I74" s="292">
        <f t="shared" si="5"/>
        <v>4100</v>
      </c>
    </row>
    <row r="75" spans="1:9" s="84" customFormat="1" outlineLevel="1" x14ac:dyDescent="0.25">
      <c r="A75" s="288">
        <f t="shared" si="4"/>
        <v>8</v>
      </c>
      <c r="B75" s="285" t="s">
        <v>1295</v>
      </c>
      <c r="C75" s="288"/>
      <c r="D75" s="288"/>
      <c r="E75" s="286"/>
      <c r="F75" s="287">
        <v>800</v>
      </c>
      <c r="G75" s="287">
        <v>200</v>
      </c>
      <c r="H75" s="287"/>
      <c r="I75" s="292">
        <f t="shared" si="5"/>
        <v>1000</v>
      </c>
    </row>
    <row r="76" spans="1:9" s="84" customFormat="1" outlineLevel="1" x14ac:dyDescent="0.25">
      <c r="A76" s="288">
        <f t="shared" si="4"/>
        <v>9</v>
      </c>
      <c r="B76" s="285"/>
      <c r="C76" s="288"/>
      <c r="D76" s="288"/>
      <c r="E76" s="286"/>
      <c r="F76" s="287"/>
      <c r="G76" s="287"/>
      <c r="H76" s="287"/>
      <c r="I76" s="292"/>
    </row>
    <row r="77" spans="1:9" s="84" customFormat="1" outlineLevel="1" x14ac:dyDescent="0.25">
      <c r="A77" s="288">
        <f t="shared" si="4"/>
        <v>10</v>
      </c>
      <c r="B77" s="285"/>
      <c r="C77" s="288"/>
      <c r="D77" s="288"/>
      <c r="E77" s="286"/>
      <c r="F77" s="287"/>
      <c r="G77" s="287"/>
      <c r="H77" s="287"/>
      <c r="I77" s="292"/>
    </row>
    <row r="78" spans="1:9" s="84" customFormat="1" outlineLevel="1" x14ac:dyDescent="0.25">
      <c r="A78" s="288">
        <f t="shared" si="4"/>
        <v>11</v>
      </c>
      <c r="B78" s="285"/>
      <c r="C78" s="288"/>
      <c r="D78" s="288"/>
      <c r="E78" s="286"/>
      <c r="F78" s="287"/>
      <c r="G78" s="287"/>
      <c r="H78" s="287"/>
      <c r="I78" s="292">
        <f>SUM(E78:H78)</f>
        <v>0</v>
      </c>
    </row>
    <row r="79" spans="1:9" s="84" customFormat="1" outlineLevel="1" x14ac:dyDescent="0.25">
      <c r="A79" s="288">
        <f t="shared" si="4"/>
        <v>12</v>
      </c>
      <c r="B79" s="285"/>
      <c r="C79" s="288"/>
      <c r="D79" s="288"/>
      <c r="E79" s="286"/>
      <c r="F79" s="287"/>
      <c r="G79" s="287"/>
      <c r="H79" s="287"/>
      <c r="I79" s="292">
        <f>SUM(E79:H79)</f>
        <v>0</v>
      </c>
    </row>
    <row r="80" spans="1:9" s="84" customFormat="1" outlineLevel="1" x14ac:dyDescent="0.25">
      <c r="A80" s="288">
        <f t="shared" si="4"/>
        <v>13</v>
      </c>
      <c r="B80" s="285"/>
      <c r="C80" s="288"/>
      <c r="D80" s="288"/>
      <c r="E80" s="286"/>
      <c r="F80" s="287"/>
      <c r="G80" s="287"/>
      <c r="H80" s="287"/>
      <c r="I80" s="292">
        <f>SUM(E80:H80)</f>
        <v>0</v>
      </c>
    </row>
    <row r="81" spans="1:9" s="84" customFormat="1" outlineLevel="1" x14ac:dyDescent="0.25">
      <c r="A81" s="288">
        <f t="shared" si="4"/>
        <v>14</v>
      </c>
      <c r="B81" s="285"/>
      <c r="C81" s="288"/>
      <c r="D81" s="288"/>
      <c r="E81" s="286"/>
      <c r="F81" s="287"/>
      <c r="G81" s="287"/>
      <c r="H81" s="287"/>
      <c r="I81" s="292"/>
    </row>
    <row r="82" spans="1:9" s="84" customFormat="1" outlineLevel="1" x14ac:dyDescent="0.25">
      <c r="A82" s="288">
        <f t="shared" si="4"/>
        <v>15</v>
      </c>
      <c r="B82" s="288"/>
      <c r="C82" s="288"/>
      <c r="D82" s="288"/>
      <c r="E82" s="286"/>
      <c r="F82" s="287"/>
      <c r="G82" s="287"/>
      <c r="H82" s="287"/>
      <c r="I82" s="292">
        <f>SUM(E82:H82)</f>
        <v>0</v>
      </c>
    </row>
    <row r="83" spans="1:9" outlineLevel="1" x14ac:dyDescent="0.25">
      <c r="A83" s="101">
        <f t="shared" si="4"/>
        <v>16</v>
      </c>
      <c r="B83" s="116" t="s">
        <v>823</v>
      </c>
      <c r="C83" s="116"/>
      <c r="D83" s="116"/>
      <c r="E83" s="131">
        <f>Tabelle5[[#Totals],[Aufwandsentschädigungen]]</f>
        <v>2540</v>
      </c>
      <c r="F83" s="132">
        <f>Tabelle5[[#Totals],[Interne Reisekosten]]</f>
        <v>4900</v>
      </c>
      <c r="G83" s="132">
        <f>Tabelle5[[#Totals],[Raum + Unterkunft intern]]</f>
        <v>1500</v>
      </c>
      <c r="H83" s="132">
        <f>Tabelle5[[#Totals],[Repräsentation/Bewirtung intern]]</f>
        <v>300</v>
      </c>
      <c r="I83" s="293">
        <f>SUM(E83:H83)</f>
        <v>9240</v>
      </c>
    </row>
    <row r="84" spans="1:9" s="84" customFormat="1" ht="15.75" customHeight="1" outlineLevel="1" thickBot="1" x14ac:dyDescent="0.3">
      <c r="A84" s="288">
        <f t="shared" si="4"/>
        <v>17</v>
      </c>
      <c r="B84" s="289" t="s">
        <v>629</v>
      </c>
      <c r="C84" s="289"/>
      <c r="D84" s="289" t="s">
        <v>824</v>
      </c>
      <c r="E84" s="290">
        <v>660</v>
      </c>
      <c r="F84" s="291">
        <v>1600</v>
      </c>
      <c r="G84" s="291">
        <v>0</v>
      </c>
      <c r="H84" s="291">
        <v>20</v>
      </c>
      <c r="I84" s="294">
        <f>SUM(E84:H84)</f>
        <v>2280</v>
      </c>
    </row>
    <row r="85" spans="1:9" ht="23.25" customHeight="1" thickBot="1" x14ac:dyDescent="0.3">
      <c r="A85" s="101"/>
      <c r="B85" s="101"/>
      <c r="C85" s="101"/>
      <c r="D85" s="110" t="s">
        <v>754</v>
      </c>
      <c r="E85" s="315">
        <f>SUBTOTAL(9,Tabelle6[Aufwandsentschädigungen])</f>
        <v>8600</v>
      </c>
      <c r="F85" s="419">
        <f>SUBTOTAL(9,Tabelle6[Interne Reisekosten])</f>
        <v>14800</v>
      </c>
      <c r="G85" s="419">
        <f>SUBTOTAL(9,Tabelle6[Raum + Unterkunft intern])</f>
        <v>4452</v>
      </c>
      <c r="H85" s="419">
        <f>SUBTOTAL(9,Tabelle6[Repräsentation/Bewirtung intern])</f>
        <v>920</v>
      </c>
      <c r="I85" s="764">
        <f>SUBTOTAL(9,Tabelle6[Gesamt])</f>
        <v>28772</v>
      </c>
    </row>
  </sheetData>
  <sheetProtection selectLockedCells="1"/>
  <hyperlinks>
    <hyperlink ref="C45" location="WiWi!F5" display="WiWi!F5"/>
    <hyperlink ref="D45" location="WiWi!F6" display="WiWi!F6"/>
    <hyperlink ref="E45" location="WiWi!F7" display="WiWi!F7"/>
    <hyperlink ref="C62" location="WiWi!F6" display="WiWi!F6"/>
    <hyperlink ref="D62" location="WiWi!F7" display="WiWi!F7"/>
    <hyperlink ref="E62" location="WiWi!F11" display="WiWi!F11"/>
    <hyperlink ref="E85" location="WiWi!F11" display="WiWi!F11"/>
    <hyperlink ref="F62" location="WiWi!F12" display="WiWi!F12"/>
    <hyperlink ref="F85" location="WiWi!F12" display="WiWi!F12"/>
    <hyperlink ref="G62" location="WiWi!F13" display="WiWi!F13"/>
    <hyperlink ref="G85" location="WiWi!F13" display="WiWi!F13"/>
    <hyperlink ref="H62" location="WiWi!F14" display="WiWi!F14"/>
    <hyperlink ref="H85" location="WiWi!F14" display="WiWi!F14"/>
    <hyperlink ref="F45" location="WiWi!F15" display="WiWi!F15"/>
    <hyperlink ref="G45" location="WiWi!F16" display="WiWi!F16"/>
    <hyperlink ref="I62" location="WiWi!F18" display="WiWi!F18"/>
    <hyperlink ref="J62" location="WiWi!F19" display="WiWi!F19"/>
    <hyperlink ref="K62" location="WiWi!F20" display="WiWi!F20"/>
    <hyperlink ref="H45" location="WiWi!F17" display="WiWi!F17"/>
    <hyperlink ref="I45" location="WiWi!F18" display="WiWi!F18"/>
    <hyperlink ref="J45" location="WiWi!F19" display="WiWi!F19"/>
    <hyperlink ref="K45" location="WiWi!F20" display="WiWi!F20"/>
    <hyperlink ref="L62" location="WiWi!F21" display="WiWi!F21"/>
    <hyperlink ref="M62" location="WiWi!F22" display="WiWi!F22"/>
    <hyperlink ref="B11" location="Wiwi_AE_var" display="AE variabel"/>
    <hyperlink ref="B12" location="Wiwi_RK_Int." display="Fahrtkosten und Verpflegungspauschalen"/>
    <hyperlink ref="B13" location="Wiwi_R_U_Int." display="Raum- und Unterkunftskosten"/>
    <hyperlink ref="B14" location="Wiwi_Bew.Int." display="Bewirtung und Repräsentation intern"/>
    <hyperlink ref="B15" location="Wiwi_Hon_I" display="Honorare Fachseminare"/>
    <hyperlink ref="B16" location="Wiwi_Hon_II" display="Andere Honorare"/>
    <hyperlink ref="B17" location="Wiwi_R_U_Ext." display="Ext. Reisekosten"/>
    <hyperlink ref="B18" location="Wiwi_Bew.Ext." display="Bewirtung und Repräsentation extern"/>
    <hyperlink ref="B19" location="Wiwi_R_U_Ext." display="Raum- und Unterkunftskosten Seminare und Veranst."/>
    <hyperlink ref="B20" location="Wiwi_Druck" display="Druckkosten"/>
    <hyperlink ref="B21" location="Wiwi_Sonst." display="Sonstige Kosten (Lizenzen, Allg. Geschäftsbetrieb)"/>
    <hyperlink ref="B22" location="Rechtsk.FSen" display="Rechtsangelegenheiten"/>
    <hyperlink ref="B7" location="Wiwi_Sonst_Einnahmen" display="Sonstige Einnahmen (Vorauszahlungen Bewirtung, Werbung, …)"/>
    <hyperlink ref="B6" location="Wiwi_TN_Beiträge_II" display="Teilnahmebeiträge Veranstaltungen"/>
    <hyperlink ref="B5" location="Wiwi_TN_Beiträge_I" display="Teilnahmebeiträge Seminare"/>
    <hyperlink ref="F11" location="AEFKWiwi_413.21" display="AEFKWiwi_413.21"/>
    <hyperlink ref="F12" location="AEFKWiwi_527.40" display="AEFKWiwi_527.40"/>
    <hyperlink ref="F13" location="AEFKWiwi_529.40" display="AEFKWiwi_529.40"/>
    <hyperlink ref="F14" location="AEFKWiwi_531.40" display="AEFKWiwi_531.40"/>
    <hyperlink ref="F15" location="SemWiwi_551.10" display="SemWiwi_551.10"/>
    <hyperlink ref="F17" location="SemWiwi_551.30" display="SemWiwi_551.30"/>
    <hyperlink ref="F18" location="SemWiwi_551.40" display="SemWiwi_551.40"/>
    <hyperlink ref="F19" location="SemWiwi_551.50" display="SemWiwi_551.50"/>
    <hyperlink ref="F20" location="MaßnWiwi_551.60" display="MaßnWiwi_551.60"/>
    <hyperlink ref="F21" location="MaßnWiwi_551.70" display="MaßnWiwi_551.70"/>
    <hyperlink ref="F22" location="MaßnWiwi_560.70" display="MaßnWiwi_560.70"/>
    <hyperlink ref="F5" location="SemWiwi_210.10" display="SemWiwi_210.10"/>
    <hyperlink ref="F6" location="MaßnWiwi_220.10" display="MaßnWiwi_220.10"/>
    <hyperlink ref="F7" location="MaßnWiwi_230.10" display="MaßnWiwi_230.10"/>
    <hyperlink ref="F16" location="WiWi!N68" display="WiWi!N68"/>
  </hyperlinks>
  <pageMargins left="0.7" right="0.7" top="0.78740157499999996" bottom="0.78740157499999996" header="0.3" footer="0.3"/>
  <pageSetup paperSize="9" orientation="landscape" r:id="rId1"/>
  <legacy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330</vt:i4>
      </vt:variant>
    </vt:vector>
  </HeadingPairs>
  <TitlesOfParts>
    <vt:vector size="343" baseType="lpstr">
      <vt:lpstr>Haushalt</vt:lpstr>
      <vt:lpstr>HHJ_2021_2022</vt:lpstr>
      <vt:lpstr>Aufwandsentschädigungen</vt:lpstr>
      <vt:lpstr>Stellenplan</vt:lpstr>
      <vt:lpstr>Mieten und Lizenzen</vt:lpstr>
      <vt:lpstr>Anschaffungsplan+BHS</vt:lpstr>
      <vt:lpstr>Referatspläne</vt:lpstr>
      <vt:lpstr>Leistungen Dritter</vt:lpstr>
      <vt:lpstr>WiWi</vt:lpstr>
      <vt:lpstr>KSW</vt:lpstr>
      <vt:lpstr>PSY</vt:lpstr>
      <vt:lpstr>ReWi</vt:lpstr>
      <vt:lpstr>M_I</vt:lpstr>
      <vt:lpstr>AEFKKSW_413.21</vt:lpstr>
      <vt:lpstr>AEFKKSW_527.40</vt:lpstr>
      <vt:lpstr>AEFKKSW_529.40</vt:lpstr>
      <vt:lpstr>AEFKKSW_531.40</vt:lpstr>
      <vt:lpstr>AEFKM_I_413.21</vt:lpstr>
      <vt:lpstr>AEFKM_I_527.40</vt:lpstr>
      <vt:lpstr>AEFKM_I_529.40</vt:lpstr>
      <vt:lpstr>AEFKM_I_531.40</vt:lpstr>
      <vt:lpstr>AEFKPSY_413.21</vt:lpstr>
      <vt:lpstr>AEFKPSY_527.40</vt:lpstr>
      <vt:lpstr>AEFKPSY_529.40</vt:lpstr>
      <vt:lpstr>AEFKPSY_531.40</vt:lpstr>
      <vt:lpstr>AEFKRewi_413.21</vt:lpstr>
      <vt:lpstr>AEFKRewi_527.40</vt:lpstr>
      <vt:lpstr>AEFKRewi_529.40</vt:lpstr>
      <vt:lpstr>AEFKRewi_531.40</vt:lpstr>
      <vt:lpstr>KSW!AEFKWiwi_413.21</vt:lpstr>
      <vt:lpstr>M_I!AEFKWiwi_413.21</vt:lpstr>
      <vt:lpstr>PSY!AEFKWiwi_413.21</vt:lpstr>
      <vt:lpstr>ReWi!AEFKWiwi_413.21</vt:lpstr>
      <vt:lpstr>AEFKWiwi_413.21</vt:lpstr>
      <vt:lpstr>KSW!AEFKWiwi_527.40</vt:lpstr>
      <vt:lpstr>M_I!AEFKWiwi_527.40</vt:lpstr>
      <vt:lpstr>PSY!AEFKWiwi_527.40</vt:lpstr>
      <vt:lpstr>ReWi!AEFKWiwi_527.40</vt:lpstr>
      <vt:lpstr>AEFKWiwi_527.40</vt:lpstr>
      <vt:lpstr>KSW!AEFKWiwi_529.40</vt:lpstr>
      <vt:lpstr>M_I!AEFKWiwi_529.40</vt:lpstr>
      <vt:lpstr>PSY!AEFKWiwi_529.40</vt:lpstr>
      <vt:lpstr>ReWi!AEFKWiwi_529.40</vt:lpstr>
      <vt:lpstr>AEFKWiwi_529.40</vt:lpstr>
      <vt:lpstr>KSW!AEFKWiwi_531.40</vt:lpstr>
      <vt:lpstr>M_I!AEFKWiwi_531.40</vt:lpstr>
      <vt:lpstr>PSY!AEFKWiwi_531.40</vt:lpstr>
      <vt:lpstr>ReWi!AEFKWiwi_531.40</vt:lpstr>
      <vt:lpstr>AEFKWiwi_531.40</vt:lpstr>
      <vt:lpstr>AStA_Bew.Ext.</vt:lpstr>
      <vt:lpstr>AStA_Bew.Int.</vt:lpstr>
      <vt:lpstr>AStA_Druck</vt:lpstr>
      <vt:lpstr>AStA_Einn.Bew.</vt:lpstr>
      <vt:lpstr>AStA_Ext.RK</vt:lpstr>
      <vt:lpstr>AStA_Hon_I</vt:lpstr>
      <vt:lpstr>AStA_Hon_II</vt:lpstr>
      <vt:lpstr>AStA_R_U_Ext.</vt:lpstr>
      <vt:lpstr>AStA_R_U_Int.</vt:lpstr>
      <vt:lpstr>AStA_Referate</vt:lpstr>
      <vt:lpstr>AStA_RK_Int.</vt:lpstr>
      <vt:lpstr>AStA_SKP</vt:lpstr>
      <vt:lpstr>AStA_Sonst.</vt:lpstr>
      <vt:lpstr>AStA_TN_2</vt:lpstr>
      <vt:lpstr>AStA_TN_I</vt:lpstr>
      <vt:lpstr>AStA_VBG</vt:lpstr>
      <vt:lpstr>Beschäft._VBG</vt:lpstr>
      <vt:lpstr>BHS_II</vt:lpstr>
      <vt:lpstr>BR_Besch.</vt:lpstr>
      <vt:lpstr>BR_Beschäft.</vt:lpstr>
      <vt:lpstr>Bundesknappschaft</vt:lpstr>
      <vt:lpstr>Campus_Bew.</vt:lpstr>
      <vt:lpstr>Förderungen</vt:lpstr>
      <vt:lpstr>Förderungen_Sonst</vt:lpstr>
      <vt:lpstr>Gehälter_Beschäft.</vt:lpstr>
      <vt:lpstr>IT_Dienstl.</vt:lpstr>
      <vt:lpstr>IT_Mieten</vt:lpstr>
      <vt:lpstr>IT_Mieten_Ges.</vt:lpstr>
      <vt:lpstr>KSW_AE_var</vt:lpstr>
      <vt:lpstr>KSW_Bew.Ext.</vt:lpstr>
      <vt:lpstr>KSW_Bew.Int.</vt:lpstr>
      <vt:lpstr>KSW_Druck</vt:lpstr>
      <vt:lpstr>KSW_Ext.RK</vt:lpstr>
      <vt:lpstr>KSW_Hon_I</vt:lpstr>
      <vt:lpstr>KSW_Hon_II</vt:lpstr>
      <vt:lpstr>KSW_R_U_Ext.</vt:lpstr>
      <vt:lpstr>KSW_R_U_Int.</vt:lpstr>
      <vt:lpstr>KSW_RK_Int.</vt:lpstr>
      <vt:lpstr>KSW_Sonst.</vt:lpstr>
      <vt:lpstr>KSW_Sonst_Einnahmen</vt:lpstr>
      <vt:lpstr>KSW_TN_Beiträge_I</vt:lpstr>
      <vt:lpstr>KSW_TN_Beiträge_II</vt:lpstr>
      <vt:lpstr>Lerngruppen_ges.</vt:lpstr>
      <vt:lpstr>Lizenzen</vt:lpstr>
      <vt:lpstr>Lizenzen_Ges.</vt:lpstr>
      <vt:lpstr>M_I_AE_var</vt:lpstr>
      <vt:lpstr>M_I_Bew.Ext.</vt:lpstr>
      <vt:lpstr>M_I_Bew.Int.</vt:lpstr>
      <vt:lpstr>M_I_Druck</vt:lpstr>
      <vt:lpstr>M_I_Ext.RK</vt:lpstr>
      <vt:lpstr>M_I_Hon_I</vt:lpstr>
      <vt:lpstr>M_I_Hon_II</vt:lpstr>
      <vt:lpstr>M_I_R_U_Ext.</vt:lpstr>
      <vt:lpstr>M_I_R_U_Int.</vt:lpstr>
      <vt:lpstr>M_I_RK_Int.</vt:lpstr>
      <vt:lpstr>M_I_Sonst.</vt:lpstr>
      <vt:lpstr>M_I_Sonst_Einnahmen</vt:lpstr>
      <vt:lpstr>M_I_TN_Beiträge_I</vt:lpstr>
      <vt:lpstr>M_I_TN_Beiträge_II</vt:lpstr>
      <vt:lpstr>MaßnKSW_220.10</vt:lpstr>
      <vt:lpstr>MaßnKSW_230.10</vt:lpstr>
      <vt:lpstr>MaßnKSW_527.40</vt:lpstr>
      <vt:lpstr>MaßnKSW_529.40</vt:lpstr>
      <vt:lpstr>MaßnKSW_531.40</vt:lpstr>
      <vt:lpstr>MaßnKSW_551.40</vt:lpstr>
      <vt:lpstr>MaßnKSW_551.50</vt:lpstr>
      <vt:lpstr>MaßnKSW_551.60</vt:lpstr>
      <vt:lpstr>MaßnKSW_551.70</vt:lpstr>
      <vt:lpstr>MaßnKSW_560.70</vt:lpstr>
      <vt:lpstr>MaßnM_I_220.10</vt:lpstr>
      <vt:lpstr>MaßnM_I_230.10</vt:lpstr>
      <vt:lpstr>MaßnM_I_413.21</vt:lpstr>
      <vt:lpstr>MaßnM_I_527.40</vt:lpstr>
      <vt:lpstr>MaßnM_I_529.40</vt:lpstr>
      <vt:lpstr>MaßnM_I_531.40</vt:lpstr>
      <vt:lpstr>MaßnM_I_551.40</vt:lpstr>
      <vt:lpstr>MaßnM_I_551.50</vt:lpstr>
      <vt:lpstr>MaßnM_I_551.60</vt:lpstr>
      <vt:lpstr>MaßnM_I_551.70</vt:lpstr>
      <vt:lpstr>MaßnM_I_560.70</vt:lpstr>
      <vt:lpstr>MaßnPSY_220.10</vt:lpstr>
      <vt:lpstr>MaßnPSY_230.10</vt:lpstr>
      <vt:lpstr>MaßnPSY_413.21</vt:lpstr>
      <vt:lpstr>MaßnPSY_527.40</vt:lpstr>
      <vt:lpstr>MaßnPSY_529.40</vt:lpstr>
      <vt:lpstr>MaßnPSY_531.40</vt:lpstr>
      <vt:lpstr>MaßnPSY_551.40</vt:lpstr>
      <vt:lpstr>MaßnPSY_551.50</vt:lpstr>
      <vt:lpstr>MaßnPSY_551.60</vt:lpstr>
      <vt:lpstr>MaßnPSY_551.70</vt:lpstr>
      <vt:lpstr>MaßnPSY_560.70</vt:lpstr>
      <vt:lpstr>MaßnRewi_220.10</vt:lpstr>
      <vt:lpstr>MaßnRewi_230.10</vt:lpstr>
      <vt:lpstr>MaßnRewi_413.21</vt:lpstr>
      <vt:lpstr>MaßnRewi_527.40</vt:lpstr>
      <vt:lpstr>MaßnRewi_529.40</vt:lpstr>
      <vt:lpstr>MaßnRewi_531.40</vt:lpstr>
      <vt:lpstr>MaßnRewi_551.40</vt:lpstr>
      <vt:lpstr>MaßnRewi_551.50</vt:lpstr>
      <vt:lpstr>MaßnRewi_551.60</vt:lpstr>
      <vt:lpstr>MaßnRewi_551.70</vt:lpstr>
      <vt:lpstr>MaßnRewi_560.70</vt:lpstr>
      <vt:lpstr>KSW!MaßnWiwi_220.10</vt:lpstr>
      <vt:lpstr>M_I!MaßnWiwi_220.10</vt:lpstr>
      <vt:lpstr>PSY!MaßnWiwi_220.10</vt:lpstr>
      <vt:lpstr>ReWi!MaßnWiwi_220.10</vt:lpstr>
      <vt:lpstr>MaßnWiwi_220.10</vt:lpstr>
      <vt:lpstr>KSW!MaßnWiwi_230.10</vt:lpstr>
      <vt:lpstr>M_I!MaßnWiwi_230.10</vt:lpstr>
      <vt:lpstr>PSY!MaßnWiwi_230.10</vt:lpstr>
      <vt:lpstr>ReWi!MaßnWiwi_230.10</vt:lpstr>
      <vt:lpstr>MaßnWiwi_230.10</vt:lpstr>
      <vt:lpstr>KSW!MaßnWiwi_413.21</vt:lpstr>
      <vt:lpstr>M_I!MaßnWiwi_413.21</vt:lpstr>
      <vt:lpstr>PSY!MaßnWiwi_413.21</vt:lpstr>
      <vt:lpstr>ReWi!MaßnWiwi_413.21</vt:lpstr>
      <vt:lpstr>MaßnWiwi_413.21</vt:lpstr>
      <vt:lpstr>KSW!MaßnWiwi_527.40</vt:lpstr>
      <vt:lpstr>M_I!MaßnWiwi_527.40</vt:lpstr>
      <vt:lpstr>PSY!MaßnWiwi_527.40</vt:lpstr>
      <vt:lpstr>ReWi!MaßnWiwi_527.40</vt:lpstr>
      <vt:lpstr>MaßnWiwi_527.40</vt:lpstr>
      <vt:lpstr>KSW!MaßnWiwi_529.40</vt:lpstr>
      <vt:lpstr>M_I!MaßnWiwi_529.40</vt:lpstr>
      <vt:lpstr>PSY!MaßnWiwi_529.40</vt:lpstr>
      <vt:lpstr>ReWi!MaßnWiwi_529.40</vt:lpstr>
      <vt:lpstr>MaßnWiwi_529.40</vt:lpstr>
      <vt:lpstr>KSW!MaßnWiwi_531.40</vt:lpstr>
      <vt:lpstr>M_I!MaßnWiwi_531.40</vt:lpstr>
      <vt:lpstr>PSY!MaßnWiwi_531.40</vt:lpstr>
      <vt:lpstr>ReWi!MaßnWiwi_531.40</vt:lpstr>
      <vt:lpstr>MaßnWiwi_531.40</vt:lpstr>
      <vt:lpstr>KSW!MaßnWiwi_551.40</vt:lpstr>
      <vt:lpstr>M_I!MaßnWiwi_551.40</vt:lpstr>
      <vt:lpstr>PSY!MaßnWiwi_551.40</vt:lpstr>
      <vt:lpstr>ReWi!MaßnWiwi_551.40</vt:lpstr>
      <vt:lpstr>MaßnWiwi_551.40</vt:lpstr>
      <vt:lpstr>KSW!MaßnWiwi_551.50</vt:lpstr>
      <vt:lpstr>M_I!MaßnWiwi_551.50</vt:lpstr>
      <vt:lpstr>PSY!MaßnWiwi_551.50</vt:lpstr>
      <vt:lpstr>ReWi!MaßnWiwi_551.50</vt:lpstr>
      <vt:lpstr>MaßnWiwi_551.50</vt:lpstr>
      <vt:lpstr>KSW!MaßnWiwi_551.60</vt:lpstr>
      <vt:lpstr>M_I!MaßnWiwi_551.60</vt:lpstr>
      <vt:lpstr>PSY!MaßnWiwi_551.60</vt:lpstr>
      <vt:lpstr>ReWi!MaßnWiwi_551.60</vt:lpstr>
      <vt:lpstr>MaßnWiwi_551.60</vt:lpstr>
      <vt:lpstr>KSW!MaßnWiwi_551.70</vt:lpstr>
      <vt:lpstr>M_I!MaßnWiwi_551.70</vt:lpstr>
      <vt:lpstr>PSY!MaßnWiwi_551.70</vt:lpstr>
      <vt:lpstr>ReWi!MaßnWiwi_551.70</vt:lpstr>
      <vt:lpstr>MaßnWiwi_551.70</vt:lpstr>
      <vt:lpstr>KSW!MaßnWiwi_560.70</vt:lpstr>
      <vt:lpstr>M_I!MaßnWiwi_560.70</vt:lpstr>
      <vt:lpstr>PSY!MaßnWiwi_560.70</vt:lpstr>
      <vt:lpstr>ReWi!MaßnWiwi_560.70</vt:lpstr>
      <vt:lpstr>MaßnWiwi_560.70</vt:lpstr>
      <vt:lpstr>Mieten</vt:lpstr>
      <vt:lpstr>Neu_Allg.</vt:lpstr>
      <vt:lpstr>Neu_BHS</vt:lpstr>
      <vt:lpstr>Neu_EDV_Tel.</vt:lpstr>
      <vt:lpstr>Neuanschaff_Allg</vt:lpstr>
      <vt:lpstr>Neuanschaff_EDV</vt:lpstr>
      <vt:lpstr>Psy_AE_var</vt:lpstr>
      <vt:lpstr>Psy_Bew.Ext.</vt:lpstr>
      <vt:lpstr>Psy_Bew.Int.</vt:lpstr>
      <vt:lpstr>Psy_Druck</vt:lpstr>
      <vt:lpstr>Psy_Ext.RK</vt:lpstr>
      <vt:lpstr>PSY_Hon_I</vt:lpstr>
      <vt:lpstr>Psy_Hon_II</vt:lpstr>
      <vt:lpstr>Psy_R_U_Ext.</vt:lpstr>
      <vt:lpstr>Psy_R_U_Int.</vt:lpstr>
      <vt:lpstr>Psy_RK_Int.</vt:lpstr>
      <vt:lpstr>Psy_Sonst.</vt:lpstr>
      <vt:lpstr>Psy_Sonst_Einnahmen</vt:lpstr>
      <vt:lpstr>Psy_TN_Beiträge_I</vt:lpstr>
      <vt:lpstr>Psy_TN_Beiträge_II</vt:lpstr>
      <vt:lpstr>Rechtsk.FSen</vt:lpstr>
      <vt:lpstr>Renov_Inst</vt:lpstr>
      <vt:lpstr>Renov_Inst.</vt:lpstr>
      <vt:lpstr>Rewi_AE_var</vt:lpstr>
      <vt:lpstr>Rewi_Bew.Ext.</vt:lpstr>
      <vt:lpstr>Rewi_Bew.Int.</vt:lpstr>
      <vt:lpstr>Rewi_Druck</vt:lpstr>
      <vt:lpstr>Rewi_Ext.RK</vt:lpstr>
      <vt:lpstr>Rewi_Hon_I</vt:lpstr>
      <vt:lpstr>Rewi_Hon_II</vt:lpstr>
      <vt:lpstr>Rewi_R_U_Ext.</vt:lpstr>
      <vt:lpstr>Rewi_R_U_Int.</vt:lpstr>
      <vt:lpstr>Rewi_RK_Int.</vt:lpstr>
      <vt:lpstr>Rewi_Sonst.</vt:lpstr>
      <vt:lpstr>Rewi_Sonst_Einnahmen</vt:lpstr>
      <vt:lpstr>Rewi_TN_Beiträge_I</vt:lpstr>
      <vt:lpstr>Rewi_TN_Beiträge_II</vt:lpstr>
      <vt:lpstr>SemKSW_210.10</vt:lpstr>
      <vt:lpstr>SemKSW_220.10</vt:lpstr>
      <vt:lpstr>SemKSW_230.10</vt:lpstr>
      <vt:lpstr>SemKSW_551.10</vt:lpstr>
      <vt:lpstr>SemKSW_551.20</vt:lpstr>
      <vt:lpstr>SemKSW_551.30</vt:lpstr>
      <vt:lpstr>SemKSW_551.40</vt:lpstr>
      <vt:lpstr>SemKSW_551.50</vt:lpstr>
      <vt:lpstr>SemKSW_551.60</vt:lpstr>
      <vt:lpstr>SemM_I_210.10</vt:lpstr>
      <vt:lpstr>SemM_I_220.10</vt:lpstr>
      <vt:lpstr>SemM_I_230.10</vt:lpstr>
      <vt:lpstr>SemM_I_551.10</vt:lpstr>
      <vt:lpstr>SemM_I_551.20</vt:lpstr>
      <vt:lpstr>SemM_I_551.30</vt:lpstr>
      <vt:lpstr>SemM_I_551.40</vt:lpstr>
      <vt:lpstr>SemM_I_551.50</vt:lpstr>
      <vt:lpstr>SemM_I_551.60</vt:lpstr>
      <vt:lpstr>SemPSY_210.10</vt:lpstr>
      <vt:lpstr>SemPSY_220.10</vt:lpstr>
      <vt:lpstr>SemPSY_230.10</vt:lpstr>
      <vt:lpstr>SemPSY_551.10</vt:lpstr>
      <vt:lpstr>SemPSY_551.20</vt:lpstr>
      <vt:lpstr>SemPSY_551.30</vt:lpstr>
      <vt:lpstr>SemPSY_551.40</vt:lpstr>
      <vt:lpstr>SemPSY_551.50</vt:lpstr>
      <vt:lpstr>SemPSY_551.60</vt:lpstr>
      <vt:lpstr>SemRewi_210.10</vt:lpstr>
      <vt:lpstr>SemRewi_220.10</vt:lpstr>
      <vt:lpstr>SemRewi_230.10</vt:lpstr>
      <vt:lpstr>SemRewi_551.10</vt:lpstr>
      <vt:lpstr>SemRewi_551.20</vt:lpstr>
      <vt:lpstr>SemRewi_551.30</vt:lpstr>
      <vt:lpstr>SemRewi_551.40</vt:lpstr>
      <vt:lpstr>SemRewi_551.50</vt:lpstr>
      <vt:lpstr>SemRewi_551.60</vt:lpstr>
      <vt:lpstr>KSW!SemWiwi_210.10</vt:lpstr>
      <vt:lpstr>M_I!SemWiwi_210.10</vt:lpstr>
      <vt:lpstr>PSY!SemWiwi_210.10</vt:lpstr>
      <vt:lpstr>ReWi!SemWiwi_210.10</vt:lpstr>
      <vt:lpstr>SemWiwi_210.10</vt:lpstr>
      <vt:lpstr>KSW!SemWiwi_220.10</vt:lpstr>
      <vt:lpstr>M_I!SemWiwi_220.10</vt:lpstr>
      <vt:lpstr>PSY!SemWiwi_220.10</vt:lpstr>
      <vt:lpstr>ReWi!SemWiwi_220.10</vt:lpstr>
      <vt:lpstr>SemWiwi_220.10</vt:lpstr>
      <vt:lpstr>KSW!SemWiwi_230.10</vt:lpstr>
      <vt:lpstr>M_I!SemWiwi_230.10</vt:lpstr>
      <vt:lpstr>PSY!SemWiwi_230.10</vt:lpstr>
      <vt:lpstr>ReWi!SemWiwi_230.10</vt:lpstr>
      <vt:lpstr>SemWiwi_230.10</vt:lpstr>
      <vt:lpstr>KSW!SemWiwi_551.10</vt:lpstr>
      <vt:lpstr>M_I!SemWiwi_551.10</vt:lpstr>
      <vt:lpstr>PSY!SemWiwi_551.10</vt:lpstr>
      <vt:lpstr>ReWi!SemWiwi_551.10</vt:lpstr>
      <vt:lpstr>SemWiwi_551.10</vt:lpstr>
      <vt:lpstr>KSW!SemWiwi_551.20</vt:lpstr>
      <vt:lpstr>M_I!SemWiwi_551.20</vt:lpstr>
      <vt:lpstr>PSY!SemWiwi_551.20</vt:lpstr>
      <vt:lpstr>ReWi!SemWiwi_551.20</vt:lpstr>
      <vt:lpstr>SemWiwi_551.20</vt:lpstr>
      <vt:lpstr>KSW!SemWiwi_551.30</vt:lpstr>
      <vt:lpstr>M_I!SemWiwi_551.30</vt:lpstr>
      <vt:lpstr>PSY!SemWiwi_551.30</vt:lpstr>
      <vt:lpstr>ReWi!SemWiwi_551.30</vt:lpstr>
      <vt:lpstr>SemWiwi_551.30</vt:lpstr>
      <vt:lpstr>KSW!SemWiwi_551.40</vt:lpstr>
      <vt:lpstr>M_I!SemWiwi_551.40</vt:lpstr>
      <vt:lpstr>PSY!SemWiwi_551.40</vt:lpstr>
      <vt:lpstr>ReWi!SemWiwi_551.40</vt:lpstr>
      <vt:lpstr>SemWiwi_551.40</vt:lpstr>
      <vt:lpstr>KSW!SemWiwi_551.50</vt:lpstr>
      <vt:lpstr>M_I!SemWiwi_551.50</vt:lpstr>
      <vt:lpstr>PSY!SemWiwi_551.50</vt:lpstr>
      <vt:lpstr>ReWi!SemWiwi_551.50</vt:lpstr>
      <vt:lpstr>SemWiwi_551.50</vt:lpstr>
      <vt:lpstr>KSW!SemWiwi_551.60</vt:lpstr>
      <vt:lpstr>M_I!SemWiwi_551.60</vt:lpstr>
      <vt:lpstr>PSY!SemWiwi_551.60</vt:lpstr>
      <vt:lpstr>ReWi!SemWiwi_551.60</vt:lpstr>
      <vt:lpstr>SemWiwi_551.60</vt:lpstr>
      <vt:lpstr>SozVers_Besch.</vt:lpstr>
      <vt:lpstr>SozVers_Beschäft.</vt:lpstr>
      <vt:lpstr>Steuern_Besch.</vt:lpstr>
      <vt:lpstr>Steuern_Beschäft.</vt:lpstr>
      <vt:lpstr>Wiwi_AE_var</vt:lpstr>
      <vt:lpstr>Wiwi_Bew.Ext.</vt:lpstr>
      <vt:lpstr>Wiwi_Bew.Int.</vt:lpstr>
      <vt:lpstr>Wiwi_Druck</vt:lpstr>
      <vt:lpstr>Wiwi_Ext.RK</vt:lpstr>
      <vt:lpstr>Wiwi_Hon_I</vt:lpstr>
      <vt:lpstr>Wiwi_Hon_II</vt:lpstr>
      <vt:lpstr>Wiwi_R_U_Ext.</vt:lpstr>
      <vt:lpstr>Wiwi_R_U_Int.</vt:lpstr>
      <vt:lpstr>Wiwi_RK_Int.</vt:lpstr>
      <vt:lpstr>Wiwi_Sonst.</vt:lpstr>
      <vt:lpstr>Wiwi_Sonst_Einnahmen</vt:lpstr>
      <vt:lpstr>Wiwi_TN_Beiträge_I</vt:lpstr>
      <vt:lpstr>Wiwi_TN_Beiträge_II</vt:lpstr>
      <vt:lpstr>Zuschüsse_Campus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Carsten Fedderke</dc:creator>
  <cp:keywords/>
  <dc:description/>
  <cp:lastModifiedBy>Marit</cp:lastModifiedBy>
  <cp:revision/>
  <dcterms:created xsi:type="dcterms:W3CDTF">2022-03-31T14:13:39Z</dcterms:created>
  <dcterms:modified xsi:type="dcterms:W3CDTF">2022-12-07T21:19:06Z</dcterms:modified>
  <cp:category/>
  <cp:contentStatus/>
</cp:coreProperties>
</file>