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omments1.xml" ContentType="application/vnd.openxmlformats-officedocument.spreadsheetml.comments+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comments2.xml" ContentType="application/vnd.openxmlformats-officedocument.spreadsheetml.comments+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comments3.xml" ContentType="application/vnd.openxmlformats-officedocument.spreadsheetml.comments+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comments4.xml" ContentType="application/vnd.openxmlformats-officedocument.spreadsheetml.comments+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DieseArbeitsmappe" hidePivotFieldList="1" defaultThemeVersion="166925"/>
  <mc:AlternateContent xmlns:mc="http://schemas.openxmlformats.org/markup-compatibility/2006">
    <mc:Choice Requires="x15">
      <x15ac:absPath xmlns:x15ac="http://schemas.microsoft.com/office/spreadsheetml/2010/11/ac" url="/Users/Pummela/Documents/Asta/Homepage/"/>
    </mc:Choice>
  </mc:AlternateContent>
  <xr:revisionPtr revIDLastSave="0" documentId="8_{1305D7A0-C46A-254B-9DDA-185FD534905F}" xr6:coauthVersionLast="47" xr6:coauthVersionMax="47" xr10:uidLastSave="{00000000-0000-0000-0000-000000000000}"/>
  <bookViews>
    <workbookView xWindow="0" yWindow="500" windowWidth="28800" windowHeight="17500" tabRatio="899" activeTab="6" xr2:uid="{BF42AEAE-8F11-4DCE-AB28-78D8014C6371}"/>
  </bookViews>
  <sheets>
    <sheet name="Haushalt 2023-2024" sheetId="1" r:id="rId1"/>
    <sheet name="Referatspläne" sheetId="2" r:id="rId2"/>
    <sheet name="Leistungen Dritter" sheetId="62" r:id="rId3"/>
    <sheet name="HHJ_2021_2022" sheetId="67" r:id="rId4"/>
    <sheet name="HHJ_2022_2023" sheetId="70" r:id="rId5"/>
    <sheet name="Aufwandsentschädigungen" sheetId="49" r:id="rId6"/>
    <sheet name="Mieten und Lizenzen" sheetId="61" r:id="rId7"/>
    <sheet name="Anschaffungsplan+BHS" sheetId="4" r:id="rId8"/>
    <sheet name="WiWi" sheetId="69" r:id="rId9"/>
    <sheet name="KSW" sheetId="63" r:id="rId10"/>
    <sheet name="PSY" sheetId="64" r:id="rId11"/>
    <sheet name="ReWi" sheetId="65" r:id="rId12"/>
    <sheet name="M_I" sheetId="66" r:id="rId13"/>
  </sheets>
  <externalReferences>
    <externalReference r:id="rId14"/>
    <externalReference r:id="rId15"/>
  </externalReferences>
  <definedNames>
    <definedName name="AEFKKSW_413.21">KSW!$V$80</definedName>
    <definedName name="AEFKKSW_527.40">KSW!$W$80</definedName>
    <definedName name="AEFKKSW_529.40">KSW!$X$80</definedName>
    <definedName name="AEFKKSW_531.40">KSW!$Y$80</definedName>
    <definedName name="AEFKM_I_413.21">M_I!$V$69</definedName>
    <definedName name="AEFKM_I_527.40">M_I!$W$69</definedName>
    <definedName name="AEFKM_I_529.40">M_I!$X$69</definedName>
    <definedName name="AEFKM_I_531.40">M_I!$Y$69</definedName>
    <definedName name="AEFKPSY_413.21">PSY!$V$66</definedName>
    <definedName name="AEFKPSY_527.40">PSY!$W$66</definedName>
    <definedName name="AEFKPSY_529.40">PSY!$X$66</definedName>
    <definedName name="AEFKPSY_531.40">PSY!$Y$66</definedName>
    <definedName name="AEFKRewi_413.21">ReWi!$V$70</definedName>
    <definedName name="AEFKRewi_527.40">ReWi!$W$70</definedName>
    <definedName name="AEFKRewi_529.40">ReWi!$X$70</definedName>
    <definedName name="AEFKRewi_531.40">ReWi!$Y$70</definedName>
    <definedName name="AEFKWiwi_413.21" localSheetId="9">KSW!$V$80</definedName>
    <definedName name="AEFKWiwi_413.21" localSheetId="12">M_I!$V$69</definedName>
    <definedName name="AEFKWiwi_413.21" localSheetId="10">PSY!$V$66</definedName>
    <definedName name="AEFKWiwi_413.21" localSheetId="11">ReWi!$V$70</definedName>
    <definedName name="AEFKWiwi_413.21">WiWi!$P$66</definedName>
    <definedName name="AEFKWiwi_527.40" localSheetId="9">KSW!$W$80</definedName>
    <definedName name="AEFKWiwi_527.40" localSheetId="12">M_I!$W$69</definedName>
    <definedName name="AEFKWiwi_527.40" localSheetId="10">PSY!$W$66</definedName>
    <definedName name="AEFKWiwi_527.40" localSheetId="11">ReWi!$W$70</definedName>
    <definedName name="AEFKWiwi_527.40">WiWi!$Q$66</definedName>
    <definedName name="AEFKWiwi_529.40" localSheetId="9">KSW!$X$80</definedName>
    <definedName name="AEFKWiwi_529.40" localSheetId="12">M_I!$X$69</definedName>
    <definedName name="AEFKWiwi_529.40" localSheetId="10">PSY!$X$66</definedName>
    <definedName name="AEFKWiwi_529.40" localSheetId="11">ReWi!$X$70</definedName>
    <definedName name="AEFKWiwi_529.40">WiWi!$R$66</definedName>
    <definedName name="AEFKWiwi_531.40" localSheetId="9">KSW!$Y$80</definedName>
    <definedName name="AEFKWiwi_531.40" localSheetId="12">M_I!$Y$69</definedName>
    <definedName name="AEFKWiwi_531.40" localSheetId="10">PSY!$Y$66</definedName>
    <definedName name="AEFKWiwi_531.40" localSheetId="11">ReWi!$Y$70</definedName>
    <definedName name="AEFKWiwi_531.40">WiWi!$S$66</definedName>
    <definedName name="AStA_Bew.Ext.">'Haushalt 2023-2024'!$D$178</definedName>
    <definedName name="AStA_Bew.Int.">'Haushalt 2023-2024'!$D$158</definedName>
    <definedName name="AStA_Druck">'Haushalt 2023-2024'!$D$180</definedName>
    <definedName name="AStA_Einn.Bew.">'Haushalt 2023-2024'!$D$24</definedName>
    <definedName name="AStA_Ext.RK">'Haushalt 2023-2024'!$D$177</definedName>
    <definedName name="AStA_Hon_I">'Haushalt 2023-2024'!$D$175</definedName>
    <definedName name="AStA_Hon_II">'Haushalt 2023-2024'!$D$176</definedName>
    <definedName name="AStA_R_U_Ext.">'Haushalt 2023-2024'!$D$179</definedName>
    <definedName name="AStA_R_U_Int.">'Haushalt 2023-2024'!$D$147</definedName>
    <definedName name="AStA_Referate">'Haushalt 2023-2024'!$D$97</definedName>
    <definedName name="AStA_RK_Int.">'Haushalt 2023-2024'!$D$135</definedName>
    <definedName name="AStA_SKP">'Haushalt 2023-2024'!$D$99</definedName>
    <definedName name="AStA_Sonst.">'Haushalt 2023-2024'!$D$181</definedName>
    <definedName name="AStA_TN_2">'Haushalt 2023-2024'!$D$20</definedName>
    <definedName name="AStA_TN_I">'Haushalt 2023-2024'!$D$19</definedName>
    <definedName name="AStA_VBG">'Haushalt 2023-2024'!$D$100</definedName>
    <definedName name="Beschäft._VBG">'Haushalt 2023-2024'!$D$107</definedName>
    <definedName name="BHS_II">Tabelle211123957[[#Totals],[Betrag]]</definedName>
    <definedName name="BR_Besch.">'Haushalt 2023-2024'!$D$106</definedName>
    <definedName name="BR_Beschäft.">'Haushalt 2023-2024'!$D$106</definedName>
    <definedName name="Bundesknappschaft">'Haushalt 2023-2024'!$D$98</definedName>
    <definedName name="Campus_Bew.">Referatspläne!$D$136</definedName>
    <definedName name="Förderungen">'Haushalt 2023-2024'!$D$27</definedName>
    <definedName name="Förderungen_Sonst">'Haushalt 2023-2024'!$D$30</definedName>
    <definedName name="Gehälter_Beschäft.">'Haushalt 2023-2024'!$D$103</definedName>
    <definedName name="IT_Dienstl.">'Leistungen Dritter'!$A$26</definedName>
    <definedName name="IT_Mieten">'Haushalt 2023-2024'!$D$125</definedName>
    <definedName name="IT_Mieten_Ges.">Tabelle16[[#Totals],[Beträge/Budget]]</definedName>
    <definedName name="KSW_AE_var">'Haushalt 2023-2024'!$D$90</definedName>
    <definedName name="KSW_Bew.Ext.">'Haushalt 2023-2024'!$D$204</definedName>
    <definedName name="KSW_Bew.Int.">'Haushalt 2023-2024'!$D$162</definedName>
    <definedName name="KSW_Druck">'Haushalt 2023-2024'!$D$216</definedName>
    <definedName name="KSW_Ext.RK">'Haushalt 2023-2024'!$D$198</definedName>
    <definedName name="KSW_Hon_I">'Haushalt 2023-2024'!$D$186</definedName>
    <definedName name="KSW_Hon_II">'Haushalt 2023-2024'!$D$192</definedName>
    <definedName name="KSW_R_U_Ext.">'Haushalt 2023-2024'!$D$210</definedName>
    <definedName name="KSW_R_U_Int.">'Haushalt 2023-2024'!$D$150</definedName>
    <definedName name="KSW_RK_Int.">'Haushalt 2023-2024'!$D$138</definedName>
    <definedName name="KSW_Sonst_Einnahmen">'Haushalt 2023-2024'!$D$53</definedName>
    <definedName name="KSW_Sonst.">'Haushalt 2023-2024'!$D$222</definedName>
    <definedName name="KSW_TN_Beiträge_I">'Haushalt 2023-2024'!$D$39</definedName>
    <definedName name="KSW_TN_Beiträge_II">'Haushalt 2023-2024'!$D$46</definedName>
    <definedName name="Lerngruppen_ges.">Referatspläne!$B$128</definedName>
    <definedName name="Lizenzen">'Haushalt 2023-2024'!$D$123</definedName>
    <definedName name="Lizenzen_Ges.">Tabelle17[[#Totals],[Beträge/Budget]]</definedName>
    <definedName name="M_I_AE_var">'Haushalt 2023-2024'!$D$93</definedName>
    <definedName name="M_I_Bew.Ext.">'Haushalt 2023-2024'!$D$207</definedName>
    <definedName name="M_I_Bew.Int.">'Haushalt 2023-2024'!$D$165</definedName>
    <definedName name="M_I_Druck">'Haushalt 2023-2024'!$D$219</definedName>
    <definedName name="M_I_Ext.RK">'Haushalt 2023-2024'!$D$201</definedName>
    <definedName name="M_I_Hon_I">'Haushalt 2023-2024'!$D$189</definedName>
    <definedName name="M_I_Hon_II">'Haushalt 2023-2024'!$D$195</definedName>
    <definedName name="M_I_R_U_Ext.">'Haushalt 2023-2024'!$D$213</definedName>
    <definedName name="M_I_R_U_Int.">'Haushalt 2023-2024'!$D$153</definedName>
    <definedName name="M_I_RK_Int.">'Haushalt 2023-2024'!$D$141</definedName>
    <definedName name="M_I_Sonst_Einnahmen">'Haushalt 2023-2024'!$D$56</definedName>
    <definedName name="M_I_Sonst.">'Haushalt 2023-2024'!$D$225</definedName>
    <definedName name="M_I_TN_Beiträge_I">'Haushalt 2023-2024'!$D$42</definedName>
    <definedName name="M_I_TN_Beiträge_II">'Haushalt 2023-2024'!$D$49</definedName>
    <definedName name="MaßnKSW_220.10">KSW!$T$62</definedName>
    <definedName name="MaßnKSW_230.10">KSW!$U$62</definedName>
    <definedName name="MaßnKSW_527.40">KSW!$W$62</definedName>
    <definedName name="MaßnKSW_529.40">KSW!$X$62</definedName>
    <definedName name="MaßnKSW_531.40">KSW!$Y$62</definedName>
    <definedName name="MaßnKSW_551.40">KSW!$Z$62</definedName>
    <definedName name="MaßnKSW_551.50">KSW!$AA$62</definedName>
    <definedName name="MaßnKSW_551.60">KSW!$AB$62</definedName>
    <definedName name="MaßnKSW_551.70">KSW!$AC$62</definedName>
    <definedName name="MaßnKSW_560.70">KSW!$AD$62</definedName>
    <definedName name="MaßnM_I_220.10">M_I!$T$51</definedName>
    <definedName name="MaßnM_I_230.10">M_I!$U$51</definedName>
    <definedName name="MaßnM_I_413.21">M_I!$V$51</definedName>
    <definedName name="MaßnM_I_527.40">M_I!$W$51</definedName>
    <definedName name="MaßnM_I_529.40">M_I!$X$51</definedName>
    <definedName name="MaßnM_I_531.40">M_I!$Y$51</definedName>
    <definedName name="MaßnM_I_551.40">M_I!$Z$51</definedName>
    <definedName name="MaßnM_I_551.50">M_I!$AA$51</definedName>
    <definedName name="MaßnM_I_551.60">M_I!$AB$51</definedName>
    <definedName name="MaßnM_I_551.70">M_I!$AC$51</definedName>
    <definedName name="MaßnM_I_560.70">M_I!$AD$51</definedName>
    <definedName name="MaßnPSY_220.10">PSY!$T$48</definedName>
    <definedName name="MaßnPSY_230.10">PSY!$U$48</definedName>
    <definedName name="MaßnPSY_413.21">PSY!$V$48</definedName>
    <definedName name="MaßnPSY_527.40">PSY!$W$48</definedName>
    <definedName name="MaßnPSY_529.40">PSY!$X$48</definedName>
    <definedName name="MaßnPSY_531.40">PSY!$Y$48</definedName>
    <definedName name="MaßnPSY_551.40">PSY!$Z$48</definedName>
    <definedName name="MaßnPSY_551.50">PSY!$AA$48</definedName>
    <definedName name="MaßnPSY_551.60">PSY!$AB$48</definedName>
    <definedName name="MaßnPSY_551.70">PSY!$AC$48</definedName>
    <definedName name="MaßnPSY_560.70">PSY!$AD$48</definedName>
    <definedName name="MaßnRewi_220.10">ReWi!$T$52</definedName>
    <definedName name="MaßnRewi_230.10">ReWi!$U$52</definedName>
    <definedName name="MaßnRewi_413.21">ReWi!$V$52</definedName>
    <definedName name="MaßnRewi_527.40">ReWi!$W$52</definedName>
    <definedName name="MaßnRewi_529.40">ReWi!$X$52</definedName>
    <definedName name="MaßnRewi_531.40">ReWi!$Y$52</definedName>
    <definedName name="MaßnRewi_551.40">ReWi!$Z$52</definedName>
    <definedName name="MaßnRewi_551.50">ReWi!$AA$52</definedName>
    <definedName name="MaßnRewi_551.60">ReWi!$AB$52</definedName>
    <definedName name="MaßnRewi_551.70">ReWi!$AC$52</definedName>
    <definedName name="MaßnRewi_560.70">ReWi!$AD$52</definedName>
    <definedName name="MaßnWiwi_220.10" localSheetId="9">KSW!$T$62</definedName>
    <definedName name="MaßnWiwi_220.10" localSheetId="12">M_I!$T$51</definedName>
    <definedName name="MaßnWiwi_220.10" localSheetId="10">PSY!$T$48</definedName>
    <definedName name="MaßnWiwi_220.10" localSheetId="11">ReWi!$T$52</definedName>
    <definedName name="MaßnWiwi_220.10">WiWi!$T$49</definedName>
    <definedName name="MaßnWiwi_230.10" localSheetId="9">KSW!$U$62</definedName>
    <definedName name="MaßnWiwi_230.10" localSheetId="12">M_I!$U$51</definedName>
    <definedName name="MaßnWiwi_230.10" localSheetId="10">PSY!$U$48</definedName>
    <definedName name="MaßnWiwi_230.10" localSheetId="11">ReWi!$U$52</definedName>
    <definedName name="MaßnWiwi_230.10">WiWi!$U$49</definedName>
    <definedName name="MaßnWiwi_413.21" localSheetId="9">KSW!$V$62</definedName>
    <definedName name="MaßnWiwi_413.21" localSheetId="12">M_I!$V$51</definedName>
    <definedName name="MaßnWiwi_413.21" localSheetId="10">PSY!$V$48</definedName>
    <definedName name="MaßnWiwi_413.21" localSheetId="11">ReWi!$V$52</definedName>
    <definedName name="MaßnWiwi_413.21">WiWi!$V$49</definedName>
    <definedName name="MaßnWiwi_527.40" localSheetId="9">KSW!$W$62</definedName>
    <definedName name="MaßnWiwi_527.40" localSheetId="12">M_I!$W$51</definedName>
    <definedName name="MaßnWiwi_527.40" localSheetId="10">PSY!$W$48</definedName>
    <definedName name="MaßnWiwi_527.40" localSheetId="11">ReWi!$W$52</definedName>
    <definedName name="MaßnWiwi_527.40">WiWi!$W$49</definedName>
    <definedName name="MaßnWiwi_529.40" localSheetId="9">KSW!$X$62</definedName>
    <definedName name="MaßnWiwi_529.40" localSheetId="12">M_I!$X$51</definedName>
    <definedName name="MaßnWiwi_529.40" localSheetId="10">PSY!$X$48</definedName>
    <definedName name="MaßnWiwi_529.40" localSheetId="11">ReWi!$X$52</definedName>
    <definedName name="MaßnWiwi_529.40">WiWi!$X$49</definedName>
    <definedName name="MaßnWiwi_531.40" localSheetId="9">KSW!$Y$62</definedName>
    <definedName name="MaßnWiwi_531.40" localSheetId="12">M_I!$Y$51</definedName>
    <definedName name="MaßnWiwi_531.40" localSheetId="10">PSY!$Y$48</definedName>
    <definedName name="MaßnWiwi_531.40" localSheetId="11">ReWi!$Y$52</definedName>
    <definedName name="MaßnWiwi_531.40">WiWi!$Y$49</definedName>
    <definedName name="MaßnWiwi_551.40" localSheetId="9">KSW!$Z$62</definedName>
    <definedName name="MaßnWiwi_551.40" localSheetId="12">M_I!$Z$51</definedName>
    <definedName name="MaßnWiwi_551.40" localSheetId="10">PSY!$Z$48</definedName>
    <definedName name="MaßnWiwi_551.40" localSheetId="11">ReWi!$Z$52</definedName>
    <definedName name="MaßnWiwi_551.40">WiWi!$Z$49</definedName>
    <definedName name="MaßnWiwi_551.50" localSheetId="9">KSW!$AA$62</definedName>
    <definedName name="MaßnWiwi_551.50" localSheetId="12">M_I!$AA$51</definedName>
    <definedName name="MaßnWiwi_551.50" localSheetId="10">PSY!$AA$48</definedName>
    <definedName name="MaßnWiwi_551.50" localSheetId="11">ReWi!$AA$52</definedName>
    <definedName name="MaßnWiwi_551.50">WiWi!$AA$49</definedName>
    <definedName name="MaßnWiwi_551.60" localSheetId="9">KSW!$AB$62</definedName>
    <definedName name="MaßnWiwi_551.60" localSheetId="12">M_I!$AB$51</definedName>
    <definedName name="MaßnWiwi_551.60" localSheetId="10">PSY!$AB$48</definedName>
    <definedName name="MaßnWiwi_551.60" localSheetId="11">ReWi!$AB$52</definedName>
    <definedName name="MaßnWiwi_551.60">WiWi!$AB$49</definedName>
    <definedName name="MaßnWiwi_551.70" localSheetId="9">KSW!$AC$62</definedName>
    <definedName name="MaßnWiwi_551.70" localSheetId="12">M_I!$AC$51</definedName>
    <definedName name="MaßnWiwi_551.70" localSheetId="10">PSY!$AC$48</definedName>
    <definedName name="MaßnWiwi_551.70" localSheetId="11">ReWi!$AC$52</definedName>
    <definedName name="MaßnWiwi_551.70">WiWi!$AC$49</definedName>
    <definedName name="MaßnWiwi_560.70" localSheetId="9">KSW!$AD$62</definedName>
    <definedName name="MaßnWiwi_560.70" localSheetId="12">M_I!$AD$51</definedName>
    <definedName name="MaßnWiwi_560.70" localSheetId="10">PSY!$AD$48</definedName>
    <definedName name="MaßnWiwi_560.70" localSheetId="11">ReWi!$AD$52</definedName>
    <definedName name="MaßnWiwi_560.70">WiWi!$AD$49</definedName>
    <definedName name="Mieten">'Mieten und Lizenzen'!$A$3</definedName>
    <definedName name="Neu_Allg.">'Anschaffungsplan+BHS'!$F$3</definedName>
    <definedName name="Neu_BHS">'Anschaffungsplan+BHS'!$F$31</definedName>
    <definedName name="Neu_EDV_Tel.">'Anschaffungsplan+BHS'!$F$12</definedName>
    <definedName name="Neuanschaff_Allg">'Haushalt 2023-2024'!$D$128</definedName>
    <definedName name="Neuanschaff_EDV">'Haushalt 2023-2024'!$D$129</definedName>
    <definedName name="Psy_AE_var">'Haushalt 2023-2024'!$D$91</definedName>
    <definedName name="Psy_Bew.Ext.">'Haushalt 2023-2024'!$D$205</definedName>
    <definedName name="Psy_Bew.Int.">'Haushalt 2023-2024'!$D$163</definedName>
    <definedName name="Psy_Druck">'Haushalt 2023-2024'!$D$217</definedName>
    <definedName name="Psy_Ext.RK">'Haushalt 2023-2024'!$D$199</definedName>
    <definedName name="PSY_Hon_I">'Haushalt 2023-2024'!$D$187</definedName>
    <definedName name="Psy_Hon_II">'Haushalt 2023-2024'!$D$193</definedName>
    <definedName name="Psy_R_U_Ext.">'Haushalt 2023-2024'!$D$211</definedName>
    <definedName name="Psy_R_U_Int.">'Haushalt 2023-2024'!$D$151</definedName>
    <definedName name="Psy_RK_Int.">'Haushalt 2023-2024'!$D$139</definedName>
    <definedName name="Psy_Sonst_Einnahmen">'Haushalt 2023-2024'!$D$54</definedName>
    <definedName name="Psy_Sonst.">'Haushalt 2023-2024'!$D$223</definedName>
    <definedName name="Psy_TN_Beiträge_I">'Haushalt 2023-2024'!$D$40</definedName>
    <definedName name="Psy_TN_Beiträge_II">'Haushalt 2023-2024'!$D$47</definedName>
    <definedName name="Rechtsk.FSen">'Haushalt 2023-2024'!$D$235</definedName>
    <definedName name="Renov_Inst">'Haushalt 2023-2024'!$D$130</definedName>
    <definedName name="Renov_Inst.">'Anschaffungsplan+BHS'!$F$21</definedName>
    <definedName name="Rewi_AE_var">'Haushalt 2023-2024'!$D$92</definedName>
    <definedName name="Rewi_Bew.Ext.">'Haushalt 2023-2024'!$D$206</definedName>
    <definedName name="Rewi_Bew.Int.">'Haushalt 2023-2024'!$D$164</definedName>
    <definedName name="Rewi_Druck">'Haushalt 2023-2024'!$D$218</definedName>
    <definedName name="Rewi_Ext.RK">'Haushalt 2023-2024'!$D$200</definedName>
    <definedName name="Rewi_Hon_I">'Haushalt 2023-2024'!$D$188</definedName>
    <definedName name="Rewi_Hon_II">'Haushalt 2023-2024'!$D$194</definedName>
    <definedName name="Rewi_R_U_Ext.">'Haushalt 2023-2024'!$D$212</definedName>
    <definedName name="Rewi_R_U_Int.">'Haushalt 2023-2024'!$D$152</definedName>
    <definedName name="Rewi_RK_Int.">'Haushalt 2023-2024'!$D$140</definedName>
    <definedName name="Rewi_Sonst_Einnahmen">'Haushalt 2023-2024'!$D$55</definedName>
    <definedName name="Rewi_Sonst.">'Haushalt 2023-2024'!$D$224</definedName>
    <definedName name="Rewi_TN_Beiträge_I">'Haushalt 2023-2024'!$D$41</definedName>
    <definedName name="Rewi_TN_Beiträge_II">'Haushalt 2023-2024'!$D$48</definedName>
    <definedName name="SemKSW_210.10">KSW!$T$34</definedName>
    <definedName name="SemKSW_220.10">KSW!$U$34</definedName>
    <definedName name="SemKSW_230.10">KSW!$V$34</definedName>
    <definedName name="SemKSW_551.10">KSW!$W$34</definedName>
    <definedName name="SemKSW_551.20">KSW!$X$34</definedName>
    <definedName name="SemKSW_551.30">KSW!$Y$34</definedName>
    <definedName name="SemKSW_551.40">KSW!$Z$34</definedName>
    <definedName name="SemKSW_551.50">KSW!$AA$34</definedName>
    <definedName name="SemKSW_551.60">KSW!$AB$34</definedName>
    <definedName name="SemM_I_210.10">M_I!$T$34</definedName>
    <definedName name="SemM_I_220.10">M_I!$U$34</definedName>
    <definedName name="SemM_I_230.10">M_I!$V$34</definedName>
    <definedName name="SemM_I_551.10">M_I!$W$34</definedName>
    <definedName name="SemM_I_551.20">M_I!$X$34</definedName>
    <definedName name="SemM_I_551.30">M_I!$Y$34</definedName>
    <definedName name="SemM_I_551.40">M_I!$Z$34</definedName>
    <definedName name="SemM_I_551.50">M_I!$AA$34</definedName>
    <definedName name="SemM_I_551.60">M_I!$AB$34</definedName>
    <definedName name="SemPSY_210.10">PSY!$T$34</definedName>
    <definedName name="SemPSY_220.10">PSY!$U$34</definedName>
    <definedName name="SemPSY_230.10">PSY!$V$34</definedName>
    <definedName name="SemPSY_551.10">PSY!$W$34</definedName>
    <definedName name="SemPSY_551.20">PSY!$X$34</definedName>
    <definedName name="SemPSY_551.30">PSY!$Y$34</definedName>
    <definedName name="SemPSY_551.40">PSY!$Z$34</definedName>
    <definedName name="SemPSY_551.50">PSY!$AA$34</definedName>
    <definedName name="SemPSY_551.60">PSY!$AB$34</definedName>
    <definedName name="SemRewi_210.10">ReWi!$T$34</definedName>
    <definedName name="SemRewi_220.10">ReWi!$U$34</definedName>
    <definedName name="SemRewi_230.10">ReWi!$V$34</definedName>
    <definedName name="SemRewi_551.10">ReWi!$W$34</definedName>
    <definedName name="SemRewi_551.20">ReWi!$X$34</definedName>
    <definedName name="SemRewi_551.30">ReWi!$Y$34</definedName>
    <definedName name="SemRewi_551.40">ReWi!$Z$34</definedName>
    <definedName name="SemRewi_551.50">ReWi!$AA$34</definedName>
    <definedName name="SemRewi_551.60">ReWi!$AB$34</definedName>
    <definedName name="SemWiwi_210.10" localSheetId="9">KSW!$T$34</definedName>
    <definedName name="SemWiwi_210.10" localSheetId="12">M_I!$T$34</definedName>
    <definedName name="SemWiwi_210.10" localSheetId="10">PSY!$T$34</definedName>
    <definedName name="SemWiwi_210.10" localSheetId="11">ReWi!$T$34</definedName>
    <definedName name="SemWiwi_210.10">WiWi!$Q$34</definedName>
    <definedName name="SemWiwi_220.10" localSheetId="9">KSW!$U$34</definedName>
    <definedName name="SemWiwi_220.10" localSheetId="12">M_I!$U$34</definedName>
    <definedName name="SemWiwi_220.10" localSheetId="10">PSY!$U$34</definedName>
    <definedName name="SemWiwi_220.10" localSheetId="11">ReWi!$U$34</definedName>
    <definedName name="SemWiwi_220.10">WiWi!$R$34</definedName>
    <definedName name="SemWiwi_230.10" localSheetId="9">KSW!$V$34</definedName>
    <definedName name="SemWiwi_230.10" localSheetId="12">M_I!$V$34</definedName>
    <definedName name="SemWiwi_230.10" localSheetId="10">PSY!$V$34</definedName>
    <definedName name="SemWiwi_230.10" localSheetId="11">ReWi!$V$34</definedName>
    <definedName name="SemWiwi_230.10">WiWi!$S$34</definedName>
    <definedName name="SemWiwi_551.10" localSheetId="9">KSW!$W$34</definedName>
    <definedName name="SemWiwi_551.10" localSheetId="12">M_I!$W$34</definedName>
    <definedName name="SemWiwi_551.10" localSheetId="10">PSY!$W$34</definedName>
    <definedName name="SemWiwi_551.10" localSheetId="11">ReWi!$W$34</definedName>
    <definedName name="SemWiwi_551.10">WiWi!$T$34</definedName>
    <definedName name="SemWiwi_551.20" localSheetId="9">KSW!$X$34</definedName>
    <definedName name="SemWiwi_551.20" localSheetId="12">M_I!$X$34</definedName>
    <definedName name="SemWiwi_551.20" localSheetId="10">PSY!$X$34</definedName>
    <definedName name="SemWiwi_551.20" localSheetId="11">ReWi!$X$34</definedName>
    <definedName name="SemWiwi_551.20">WiWi!$U$34</definedName>
    <definedName name="SemWiwi_551.30" localSheetId="9">KSW!$Y$34</definedName>
    <definedName name="SemWiwi_551.30" localSheetId="12">M_I!$Y$34</definedName>
    <definedName name="SemWiwi_551.30" localSheetId="10">PSY!$Y$34</definedName>
    <definedName name="SemWiwi_551.30" localSheetId="11">ReWi!$Y$34</definedName>
    <definedName name="SemWiwi_551.30">WiWi!$V$34</definedName>
    <definedName name="SemWiwi_551.40" localSheetId="9">KSW!$Z$34</definedName>
    <definedName name="SemWiwi_551.40" localSheetId="12">M_I!$Z$34</definedName>
    <definedName name="SemWiwi_551.40" localSheetId="10">PSY!$Z$34</definedName>
    <definedName name="SemWiwi_551.40" localSheetId="11">ReWi!$Z$34</definedName>
    <definedName name="SemWiwi_551.40">WiWi!$W$34</definedName>
    <definedName name="SemWiwi_551.50" localSheetId="9">KSW!$AA$34</definedName>
    <definedName name="SemWiwi_551.50" localSheetId="12">M_I!$AA$34</definedName>
    <definedName name="SemWiwi_551.50" localSheetId="10">PSY!$AA$34</definedName>
    <definedName name="SemWiwi_551.50" localSheetId="11">ReWi!$AA$34</definedName>
    <definedName name="SemWiwi_551.50">WiWi!$X$34</definedName>
    <definedName name="SemWiwi_551.60" localSheetId="9">KSW!$AB$34</definedName>
    <definedName name="SemWiwi_551.60" localSheetId="12">M_I!$AB$34</definedName>
    <definedName name="SemWiwi_551.60" localSheetId="10">PSY!$AB$34</definedName>
    <definedName name="SemWiwi_551.60" localSheetId="11">ReWi!$AB$34</definedName>
    <definedName name="SemWiwi_551.60">WiWi!$Y$34</definedName>
    <definedName name="SozVers_Besch.">'Haushalt 2023-2024'!$D$105</definedName>
    <definedName name="SozVers_Beschäft.">'Haushalt 2023-2024'!$D$105</definedName>
    <definedName name="Steuern_Besch.">'Haushalt 2023-2024'!$D$104</definedName>
    <definedName name="Steuern_Beschäft.">'Haushalt 2023-2024'!$D$104</definedName>
    <definedName name="Wiwi_AE_var">'Haushalt 2023-2024'!$D$89</definedName>
    <definedName name="Wiwi_Bew.Ext.">'Haushalt 2023-2024'!$D$203</definedName>
    <definedName name="Wiwi_Bew.Int.">'Haushalt 2023-2024'!$D$161</definedName>
    <definedName name="Wiwi_Druck">'Haushalt 2023-2024'!$D$215</definedName>
    <definedName name="Wiwi_Ext.RK">'Haushalt 2023-2024'!$D$197</definedName>
    <definedName name="Wiwi_Hon_I">'Haushalt 2023-2024'!$D$185</definedName>
    <definedName name="Wiwi_Hon_II">'Haushalt 2023-2024'!$D$191</definedName>
    <definedName name="Wiwi_R_U_Ext.">'Haushalt 2023-2024'!$D$209</definedName>
    <definedName name="Wiwi_R_U_Int.">'Haushalt 2023-2024'!$D$149</definedName>
    <definedName name="Wiwi_RK_Int.">'Haushalt 2023-2024'!$D$137</definedName>
    <definedName name="Wiwi_Sonst_Einnahmen">'Haushalt 2023-2024'!$D$52</definedName>
    <definedName name="Wiwi_Sonst.">'Haushalt 2023-2024'!$D$221</definedName>
    <definedName name="Wiwi_TN_Beiträge_I">'Haushalt 2023-2024'!$D$38</definedName>
    <definedName name="Wiwi_TN_Beiträge_II">'Haushalt 2023-2024'!$D$45</definedName>
    <definedName name="Zuschüsse_Campus">Referatspläne!$C$136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2" l="1"/>
  <c r="E213" i="1"/>
  <c r="E212" i="1"/>
  <c r="E211" i="1"/>
  <c r="E210" i="1"/>
  <c r="E207" i="1"/>
  <c r="E206" i="1"/>
  <c r="E205" i="1"/>
  <c r="E204" i="1"/>
  <c r="E201" i="1"/>
  <c r="E200" i="1"/>
  <c r="E199" i="1"/>
  <c r="E198" i="1"/>
  <c r="E195" i="1"/>
  <c r="E194" i="1"/>
  <c r="E193" i="1"/>
  <c r="E192" i="1"/>
  <c r="E189" i="1"/>
  <c r="E188" i="1"/>
  <c r="E187" i="1"/>
  <c r="E186" i="1"/>
  <c r="E165" i="1"/>
  <c r="E164" i="1"/>
  <c r="E163" i="1"/>
  <c r="E162" i="1"/>
  <c r="E225" i="1"/>
  <c r="E224" i="1"/>
  <c r="E223" i="1"/>
  <c r="E219" i="1"/>
  <c r="E218" i="1"/>
  <c r="E217" i="1"/>
  <c r="E216" i="1"/>
  <c r="E222" i="1"/>
  <c r="M78" i="2"/>
  <c r="M79" i="2"/>
  <c r="M80" i="2"/>
  <c r="M81" i="2"/>
  <c r="M82" i="2"/>
  <c r="M83" i="2"/>
  <c r="M84" i="2"/>
  <c r="L85" i="2"/>
  <c r="M14" i="2" l="1"/>
  <c r="G220" i="1"/>
  <c r="G214" i="1"/>
  <c r="G208" i="1"/>
  <c r="G202" i="1"/>
  <c r="G196" i="1"/>
  <c r="G190" i="1"/>
  <c r="G184" i="1"/>
  <c r="G137" i="1"/>
  <c r="G138" i="1"/>
  <c r="G139" i="1"/>
  <c r="G140" i="1"/>
  <c r="G141" i="1"/>
  <c r="G136" i="1" s="1"/>
  <c r="G132" i="1" s="1"/>
  <c r="E267" i="1"/>
  <c r="E266" i="1"/>
  <c r="E235" i="1"/>
  <c r="E229" i="1"/>
  <c r="H235" i="1"/>
  <c r="E221" i="1"/>
  <c r="E215" i="1"/>
  <c r="E209" i="1"/>
  <c r="E203" i="1"/>
  <c r="E197" i="1"/>
  <c r="E191" i="1"/>
  <c r="E185" i="1"/>
  <c r="E161" i="1"/>
  <c r="E149" i="1"/>
  <c r="G149" i="1"/>
  <c r="E153" i="1"/>
  <c r="E152" i="1"/>
  <c r="E151" i="1"/>
  <c r="E150" i="1"/>
  <c r="E141" i="1"/>
  <c r="E140" i="1"/>
  <c r="E139" i="1"/>
  <c r="E138" i="1"/>
  <c r="E137" i="1"/>
  <c r="E130" i="1"/>
  <c r="E129" i="1"/>
  <c r="E128" i="1"/>
  <c r="E83" i="1"/>
  <c r="E106" i="1"/>
  <c r="E105" i="1"/>
  <c r="E104" i="1"/>
  <c r="E103" i="1"/>
  <c r="E100" i="1"/>
  <c r="E99" i="1"/>
  <c r="E98" i="1"/>
  <c r="E97" i="1"/>
  <c r="E93" i="1"/>
  <c r="E92" i="1"/>
  <c r="E91" i="1"/>
  <c r="E90" i="1"/>
  <c r="E89" i="1"/>
  <c r="E87" i="1"/>
  <c r="E56" i="1"/>
  <c r="E55" i="1"/>
  <c r="E54" i="1"/>
  <c r="E53" i="1"/>
  <c r="E38" i="1"/>
  <c r="E39" i="1"/>
  <c r="E40" i="1"/>
  <c r="E41" i="1"/>
  <c r="E42" i="1"/>
  <c r="E49" i="1"/>
  <c r="E48" i="1"/>
  <c r="E47" i="1"/>
  <c r="E46" i="1"/>
  <c r="E52" i="1"/>
  <c r="E45" i="1"/>
  <c r="E9" i="1"/>
  <c r="E8" i="1"/>
  <c r="R3" i="2"/>
  <c r="A73" i="65"/>
  <c r="A74" i="65"/>
  <c r="A75" i="65"/>
  <c r="A76" i="65"/>
  <c r="A77" i="65"/>
  <c r="A78" i="65"/>
  <c r="A79" i="65"/>
  <c r="A80" i="65"/>
  <c r="A81" i="65"/>
  <c r="A82" i="65"/>
  <c r="A83" i="65"/>
  <c r="A84" i="65"/>
  <c r="A85" i="65"/>
  <c r="A86" i="65"/>
  <c r="A87" i="65"/>
  <c r="A88" i="65"/>
  <c r="A72" i="65"/>
  <c r="A55" i="65"/>
  <c r="A56" i="65"/>
  <c r="A57" i="65"/>
  <c r="A58" i="65"/>
  <c r="A59" i="65"/>
  <c r="A60" i="65"/>
  <c r="A61" i="65"/>
  <c r="A62" i="65"/>
  <c r="A63" i="65"/>
  <c r="A64" i="65"/>
  <c r="A65" i="65"/>
  <c r="A54" i="65"/>
  <c r="A37" i="65"/>
  <c r="A38" i="65"/>
  <c r="A39" i="65"/>
  <c r="A40" i="65"/>
  <c r="A41" i="65"/>
  <c r="A42" i="65"/>
  <c r="A43" i="65"/>
  <c r="A44" i="65"/>
  <c r="A45" i="65"/>
  <c r="A46" i="65"/>
  <c r="A36" i="65"/>
  <c r="H87" i="65"/>
  <c r="H89" i="65" s="1"/>
  <c r="F87" i="65"/>
  <c r="F89" i="65" s="1"/>
  <c r="I86" i="65"/>
  <c r="N66" i="65"/>
  <c r="M66" i="65"/>
  <c r="L66" i="65"/>
  <c r="K66" i="65"/>
  <c r="J66" i="65"/>
  <c r="I66" i="65"/>
  <c r="H66" i="65"/>
  <c r="G66" i="65"/>
  <c r="G87" i="65" s="1"/>
  <c r="G89" i="65" s="1"/>
  <c r="F66" i="65"/>
  <c r="E66" i="65"/>
  <c r="E87" i="65" s="1"/>
  <c r="D66" i="65"/>
  <c r="C66" i="65"/>
  <c r="O65" i="65"/>
  <c r="O66" i="65" s="1"/>
  <c r="K48" i="65"/>
  <c r="J48" i="65"/>
  <c r="I48" i="65"/>
  <c r="H48" i="65"/>
  <c r="G48" i="65"/>
  <c r="F48" i="65"/>
  <c r="E48" i="65"/>
  <c r="D48" i="65"/>
  <c r="C48" i="65"/>
  <c r="L48" i="65"/>
  <c r="E23" i="65"/>
  <c r="F23" i="65"/>
  <c r="E8" i="65"/>
  <c r="F8" i="65"/>
  <c r="A54" i="66"/>
  <c r="A55" i="66"/>
  <c r="A56" i="66"/>
  <c r="A57" i="66"/>
  <c r="A58" i="66"/>
  <c r="A59" i="66"/>
  <c r="A60" i="66"/>
  <c r="A61" i="66"/>
  <c r="A62" i="66"/>
  <c r="A63" i="66"/>
  <c r="A64" i="66"/>
  <c r="A53" i="66"/>
  <c r="A72" i="66"/>
  <c r="A73" i="66"/>
  <c r="A74" i="66"/>
  <c r="A75" i="66"/>
  <c r="A76" i="66"/>
  <c r="A77" i="66"/>
  <c r="A78" i="66"/>
  <c r="A79" i="66"/>
  <c r="A71" i="66"/>
  <c r="I72" i="66"/>
  <c r="I73" i="66"/>
  <c r="I76" i="66"/>
  <c r="I77" i="66"/>
  <c r="F25" i="66"/>
  <c r="E23" i="66"/>
  <c r="E25" i="66" s="1"/>
  <c r="F23" i="66"/>
  <c r="E8" i="66"/>
  <c r="F8" i="66"/>
  <c r="A37" i="66"/>
  <c r="A38" i="66"/>
  <c r="A39" i="66"/>
  <c r="A40" i="66"/>
  <c r="A41" i="66"/>
  <c r="A42" i="66"/>
  <c r="A43" i="66"/>
  <c r="A44" i="66"/>
  <c r="A45" i="66"/>
  <c r="A36" i="66"/>
  <c r="I79" i="66"/>
  <c r="I71" i="66"/>
  <c r="N65" i="66"/>
  <c r="M65" i="66"/>
  <c r="L65" i="66"/>
  <c r="K65" i="66"/>
  <c r="J65" i="66"/>
  <c r="I65" i="66"/>
  <c r="H65" i="66"/>
  <c r="H78" i="66" s="1"/>
  <c r="H80" i="66" s="1"/>
  <c r="G65" i="66"/>
  <c r="G78" i="66" s="1"/>
  <c r="G80" i="66" s="1"/>
  <c r="F65" i="66"/>
  <c r="F78" i="66" s="1"/>
  <c r="F80" i="66" s="1"/>
  <c r="E65" i="66"/>
  <c r="E78" i="66" s="1"/>
  <c r="D65" i="66"/>
  <c r="C65" i="66"/>
  <c r="O64" i="66"/>
  <c r="O63" i="66"/>
  <c r="O62" i="66"/>
  <c r="O61" i="66"/>
  <c r="O60" i="66"/>
  <c r="O59" i="66"/>
  <c r="O58" i="66"/>
  <c r="O57" i="66"/>
  <c r="O56" i="66"/>
  <c r="O55" i="66"/>
  <c r="O54" i="66"/>
  <c r="O53" i="66"/>
  <c r="K47" i="66"/>
  <c r="J47" i="66"/>
  <c r="I47" i="66"/>
  <c r="H47" i="66"/>
  <c r="G47" i="66"/>
  <c r="F47" i="66"/>
  <c r="E47" i="66"/>
  <c r="D47" i="66"/>
  <c r="C47" i="66"/>
  <c r="L45" i="66"/>
  <c r="L44" i="66"/>
  <c r="L43" i="66"/>
  <c r="L42" i="66"/>
  <c r="L41" i="66"/>
  <c r="L40" i="66"/>
  <c r="L39" i="66"/>
  <c r="L38" i="66"/>
  <c r="L37" i="66"/>
  <c r="L36" i="66"/>
  <c r="L47" i="66" s="1"/>
  <c r="F25" i="64"/>
  <c r="J25" i="64"/>
  <c r="I25" i="64"/>
  <c r="H25" i="64"/>
  <c r="G25" i="64"/>
  <c r="E25" i="64"/>
  <c r="E23" i="64"/>
  <c r="F23" i="64"/>
  <c r="E8" i="64"/>
  <c r="F8" i="64"/>
  <c r="I76" i="64"/>
  <c r="I84" i="64"/>
  <c r="G44" i="64"/>
  <c r="H44" i="64"/>
  <c r="I44" i="64"/>
  <c r="J44" i="64"/>
  <c r="K44" i="64"/>
  <c r="F38" i="64"/>
  <c r="C38" i="64"/>
  <c r="F37" i="64"/>
  <c r="F44" i="64" s="1"/>
  <c r="C37" i="64"/>
  <c r="A37" i="64"/>
  <c r="A38" i="64"/>
  <c r="A39" i="64"/>
  <c r="A40" i="64"/>
  <c r="A41" i="64"/>
  <c r="A42" i="64"/>
  <c r="A36" i="64"/>
  <c r="A84" i="64"/>
  <c r="A83" i="64"/>
  <c r="I82" i="64"/>
  <c r="A82" i="64"/>
  <c r="I81" i="64"/>
  <c r="A81" i="64"/>
  <c r="A80" i="64"/>
  <c r="A79" i="64"/>
  <c r="A78" i="64"/>
  <c r="A77" i="64"/>
  <c r="A76" i="64"/>
  <c r="I75" i="64"/>
  <c r="A75" i="64"/>
  <c r="I74" i="64"/>
  <c r="A74" i="64"/>
  <c r="I73" i="64"/>
  <c r="A73" i="64"/>
  <c r="I72" i="64"/>
  <c r="A72" i="64"/>
  <c r="I71" i="64"/>
  <c r="A71" i="64"/>
  <c r="I70" i="64"/>
  <c r="A70" i="64"/>
  <c r="I69" i="64"/>
  <c r="A69" i="64"/>
  <c r="I68" i="64"/>
  <c r="A68" i="64"/>
  <c r="N62" i="64"/>
  <c r="M62" i="64"/>
  <c r="L62" i="64"/>
  <c r="K62" i="64"/>
  <c r="J62" i="64"/>
  <c r="I62" i="64"/>
  <c r="H62" i="64"/>
  <c r="H83" i="64" s="1"/>
  <c r="H85" i="64" s="1"/>
  <c r="G62" i="64"/>
  <c r="G83" i="64" s="1"/>
  <c r="G85" i="64" s="1"/>
  <c r="F62" i="64"/>
  <c r="F83" i="64" s="1"/>
  <c r="F85" i="64" s="1"/>
  <c r="E62" i="64"/>
  <c r="E83" i="64" s="1"/>
  <c r="D62" i="64"/>
  <c r="C62" i="64"/>
  <c r="A61" i="64"/>
  <c r="A60" i="64"/>
  <c r="A59" i="64"/>
  <c r="A58" i="64"/>
  <c r="A57" i="64"/>
  <c r="A56" i="64"/>
  <c r="A55" i="64"/>
  <c r="A54" i="64"/>
  <c r="A53" i="64"/>
  <c r="A52" i="64"/>
  <c r="A51" i="64"/>
  <c r="A50" i="64"/>
  <c r="E44" i="64"/>
  <c r="D44" i="64"/>
  <c r="L42" i="64"/>
  <c r="L41" i="64"/>
  <c r="L40" i="64"/>
  <c r="L39" i="64"/>
  <c r="L36" i="64"/>
  <c r="A65" i="63"/>
  <c r="A66" i="63"/>
  <c r="A67" i="63"/>
  <c r="A68" i="63"/>
  <c r="A69" i="63"/>
  <c r="A70" i="63"/>
  <c r="A71" i="63"/>
  <c r="A72" i="63"/>
  <c r="A73" i="63"/>
  <c r="A74" i="63"/>
  <c r="A75" i="63"/>
  <c r="A64" i="63"/>
  <c r="C58" i="63"/>
  <c r="F40" i="63"/>
  <c r="F58" i="63" s="1"/>
  <c r="F39" i="63"/>
  <c r="F38" i="63"/>
  <c r="F37" i="63"/>
  <c r="H25" i="63"/>
  <c r="I25" i="63"/>
  <c r="G25" i="63"/>
  <c r="E23" i="63"/>
  <c r="A40" i="63"/>
  <c r="A41" i="63"/>
  <c r="A42" i="63"/>
  <c r="A43" i="63"/>
  <c r="A44" i="63"/>
  <c r="A45" i="63"/>
  <c r="A46" i="63"/>
  <c r="A47" i="63"/>
  <c r="A48" i="63"/>
  <c r="A49" i="63"/>
  <c r="A50" i="63"/>
  <c r="A51" i="63"/>
  <c r="A52" i="63"/>
  <c r="A53" i="63"/>
  <c r="A54" i="63"/>
  <c r="A55" i="63"/>
  <c r="A56" i="63"/>
  <c r="A37" i="63"/>
  <c r="A38" i="63"/>
  <c r="A39" i="63"/>
  <c r="A36" i="63"/>
  <c r="E8" i="63"/>
  <c r="E25" i="63" s="1"/>
  <c r="F8" i="63"/>
  <c r="F23" i="63"/>
  <c r="A92" i="63"/>
  <c r="F91" i="63"/>
  <c r="F93" i="63" s="1"/>
  <c r="A91" i="63"/>
  <c r="A90" i="63"/>
  <c r="A89" i="63"/>
  <c r="A88" i="63"/>
  <c r="A87" i="63"/>
  <c r="A86" i="63"/>
  <c r="A85" i="63"/>
  <c r="A84" i="63"/>
  <c r="A83" i="63"/>
  <c r="A82" i="63"/>
  <c r="N76" i="63"/>
  <c r="M76" i="63"/>
  <c r="L76" i="63"/>
  <c r="K76" i="63"/>
  <c r="J76" i="63"/>
  <c r="I76" i="63"/>
  <c r="H76" i="63"/>
  <c r="H91" i="63" s="1"/>
  <c r="H93" i="63" s="1"/>
  <c r="G76" i="63"/>
  <c r="G91" i="63" s="1"/>
  <c r="G93" i="63" s="1"/>
  <c r="F76" i="63"/>
  <c r="E76" i="63"/>
  <c r="E91" i="63" s="1"/>
  <c r="E93" i="63" s="1"/>
  <c r="D76" i="63"/>
  <c r="C76" i="63"/>
  <c r="O75" i="63"/>
  <c r="O74" i="63"/>
  <c r="O73" i="63"/>
  <c r="O72" i="63"/>
  <c r="O71" i="63"/>
  <c r="O70" i="63"/>
  <c r="O69" i="63"/>
  <c r="O68" i="63"/>
  <c r="O67" i="63"/>
  <c r="O66" i="63"/>
  <c r="O65" i="63"/>
  <c r="O64" i="63"/>
  <c r="K58" i="63"/>
  <c r="J58" i="63"/>
  <c r="I58" i="63"/>
  <c r="H58" i="63"/>
  <c r="G58" i="63"/>
  <c r="E58" i="63"/>
  <c r="D58" i="63"/>
  <c r="L56" i="63"/>
  <c r="L55" i="63"/>
  <c r="L54" i="63"/>
  <c r="L53" i="63"/>
  <c r="L52" i="63"/>
  <c r="L51" i="63"/>
  <c r="L50" i="63"/>
  <c r="L49" i="63"/>
  <c r="L48" i="63"/>
  <c r="L47" i="63"/>
  <c r="L46" i="63"/>
  <c r="L45" i="63"/>
  <c r="L44" i="63"/>
  <c r="L43" i="63"/>
  <c r="L42" i="63"/>
  <c r="L41" i="63"/>
  <c r="L39" i="63"/>
  <c r="L38" i="63"/>
  <c r="L36" i="63"/>
  <c r="F11" i="69"/>
  <c r="F22" i="69"/>
  <c r="F21" i="69"/>
  <c r="F16" i="69"/>
  <c r="F19" i="69"/>
  <c r="F18" i="69"/>
  <c r="F17" i="69"/>
  <c r="F15" i="69"/>
  <c r="F14" i="69"/>
  <c r="F13" i="69"/>
  <c r="F12" i="69"/>
  <c r="F10" i="69"/>
  <c r="E25" i="69"/>
  <c r="E23" i="69"/>
  <c r="G25" i="69"/>
  <c r="E8" i="69"/>
  <c r="F8" i="69"/>
  <c r="A69" i="69"/>
  <c r="A70" i="69"/>
  <c r="A71" i="69"/>
  <c r="A72" i="69"/>
  <c r="A73" i="69"/>
  <c r="A74" i="69"/>
  <c r="A75" i="69"/>
  <c r="A76" i="69"/>
  <c r="A77" i="69"/>
  <c r="A78" i="69"/>
  <c r="A79" i="69"/>
  <c r="A80" i="69"/>
  <c r="A81" i="69"/>
  <c r="A82" i="69"/>
  <c r="A83" i="69"/>
  <c r="A84" i="69"/>
  <c r="A68" i="69"/>
  <c r="A52" i="69"/>
  <c r="A53" i="69"/>
  <c r="A54" i="69"/>
  <c r="A55" i="69"/>
  <c r="A56" i="69"/>
  <c r="A57" i="69"/>
  <c r="A58" i="69"/>
  <c r="A59" i="69"/>
  <c r="A60" i="69"/>
  <c r="A61" i="69"/>
  <c r="A51" i="69"/>
  <c r="A37" i="69"/>
  <c r="A38" i="69"/>
  <c r="A39" i="69"/>
  <c r="A40" i="69"/>
  <c r="A41" i="69"/>
  <c r="A42" i="69"/>
  <c r="A43" i="69"/>
  <c r="A36" i="69"/>
  <c r="O37" i="69"/>
  <c r="O38" i="69"/>
  <c r="O39" i="69"/>
  <c r="O40" i="69"/>
  <c r="O41" i="69"/>
  <c r="O42" i="69"/>
  <c r="O43" i="69"/>
  <c r="O36" i="69"/>
  <c r="H85" i="69"/>
  <c r="I84" i="69"/>
  <c r="H83" i="69"/>
  <c r="G83" i="69"/>
  <c r="G85" i="69" s="1"/>
  <c r="F83" i="69"/>
  <c r="F85" i="69" s="1"/>
  <c r="E83" i="69"/>
  <c r="E85" i="69" s="1"/>
  <c r="I82" i="69"/>
  <c r="I80" i="69"/>
  <c r="I79" i="69"/>
  <c r="I78" i="69"/>
  <c r="I75" i="69"/>
  <c r="I74" i="69"/>
  <c r="I73" i="69"/>
  <c r="I72" i="69"/>
  <c r="I71" i="69"/>
  <c r="I70" i="69"/>
  <c r="I69" i="69"/>
  <c r="I68" i="69"/>
  <c r="N62" i="69"/>
  <c r="M62" i="69"/>
  <c r="L62" i="69"/>
  <c r="K62" i="69"/>
  <c r="J62" i="69"/>
  <c r="I62" i="69"/>
  <c r="H62" i="69"/>
  <c r="G62" i="69"/>
  <c r="F62" i="69"/>
  <c r="E62" i="69"/>
  <c r="D62" i="69"/>
  <c r="C62" i="69"/>
  <c r="O61" i="69"/>
  <c r="O60" i="69"/>
  <c r="O59" i="69"/>
  <c r="O58" i="69"/>
  <c r="O57" i="69"/>
  <c r="O56" i="69"/>
  <c r="O55" i="69"/>
  <c r="O54" i="69"/>
  <c r="O53" i="69"/>
  <c r="O52" i="69"/>
  <c r="O51" i="69"/>
  <c r="R51" i="69"/>
  <c r="R52" i="69"/>
  <c r="R53" i="69"/>
  <c r="R54" i="69"/>
  <c r="R55" i="69"/>
  <c r="R56" i="69"/>
  <c r="R57" i="69"/>
  <c r="R58" i="69"/>
  <c r="R59" i="69"/>
  <c r="R60" i="69"/>
  <c r="R61" i="69"/>
  <c r="K45" i="69"/>
  <c r="J45" i="69"/>
  <c r="H45" i="69"/>
  <c r="F45" i="69"/>
  <c r="E45" i="69"/>
  <c r="D45" i="69"/>
  <c r="C45" i="69"/>
  <c r="L44" i="69"/>
  <c r="L43" i="69"/>
  <c r="L42" i="69"/>
  <c r="I45" i="69"/>
  <c r="G45" i="69"/>
  <c r="L36" i="69"/>
  <c r="K23" i="62"/>
  <c r="M77" i="2"/>
  <c r="R77" i="2"/>
  <c r="M89" i="2"/>
  <c r="R89" i="2"/>
  <c r="M54" i="2"/>
  <c r="L11" i="2"/>
  <c r="E88" i="1" l="1"/>
  <c r="E89" i="65"/>
  <c r="I87" i="65"/>
  <c r="I89" i="65" s="1"/>
  <c r="E25" i="65"/>
  <c r="O65" i="66"/>
  <c r="E80" i="66"/>
  <c r="I78" i="66"/>
  <c r="I80" i="66" s="1"/>
  <c r="L37" i="64"/>
  <c r="I83" i="64"/>
  <c r="I85" i="64" s="1"/>
  <c r="C44" i="64"/>
  <c r="O62" i="64"/>
  <c r="L38" i="64"/>
  <c r="E85" i="64"/>
  <c r="L37" i="63"/>
  <c r="L40" i="63"/>
  <c r="L58" i="63" s="1"/>
  <c r="O76" i="63"/>
  <c r="I93" i="63"/>
  <c r="I91" i="63"/>
  <c r="I85" i="69"/>
  <c r="I83" i="69"/>
  <c r="O62" i="69"/>
  <c r="L37" i="69"/>
  <c r="L45" i="69" s="1"/>
  <c r="L44" i="64" l="1"/>
  <c r="B51" i="2" l="1"/>
  <c r="C51" i="2"/>
  <c r="D51" i="2"/>
  <c r="E51" i="2"/>
  <c r="F51" i="2"/>
  <c r="G51" i="2"/>
  <c r="H51" i="2"/>
  <c r="I51" i="2"/>
  <c r="J51" i="2"/>
  <c r="K51" i="2"/>
  <c r="M49" i="2"/>
  <c r="M28" i="2"/>
  <c r="M29" i="2"/>
  <c r="M30" i="2"/>
  <c r="M27" i="2"/>
  <c r="M31" i="2"/>
  <c r="M32" i="2"/>
  <c r="M33" i="2"/>
  <c r="M34" i="2"/>
  <c r="D37" i="4"/>
  <c r="B37" i="4"/>
  <c r="D28" i="4"/>
  <c r="B28" i="4"/>
  <c r="D19" i="4"/>
  <c r="B19" i="4"/>
  <c r="D10" i="4"/>
  <c r="B10" i="4"/>
  <c r="J24" i="61"/>
  <c r="E123" i="1" s="1"/>
  <c r="J12" i="61"/>
  <c r="E125" i="1" s="1"/>
  <c r="M9" i="49"/>
  <c r="M7" i="49"/>
  <c r="M5" i="49"/>
  <c r="M15" i="49" s="1"/>
  <c r="M4" i="49"/>
  <c r="H221" i="1"/>
  <c r="H215" i="1"/>
  <c r="H209" i="1"/>
  <c r="H203" i="1"/>
  <c r="H161" i="1"/>
  <c r="H149" i="1"/>
  <c r="G89" i="1"/>
  <c r="E275" i="1" l="1"/>
  <c r="E274" i="1"/>
  <c r="E270" i="1"/>
  <c r="E269" i="1"/>
  <c r="E265" i="1"/>
  <c r="E261" i="1"/>
  <c r="E238" i="1"/>
  <c r="E168" i="1"/>
  <c r="E148" i="1"/>
  <c r="E136" i="1"/>
  <c r="E127" i="1"/>
  <c r="E117" i="1"/>
  <c r="E109" i="1"/>
  <c r="E102" i="1"/>
  <c r="E96" i="1"/>
  <c r="E86" i="1"/>
  <c r="E79" i="1"/>
  <c r="E70" i="1"/>
  <c r="E66" i="1"/>
  <c r="E61" i="1"/>
  <c r="E51" i="1"/>
  <c r="E44" i="1"/>
  <c r="E32" i="1"/>
  <c r="E23" i="1"/>
  <c r="E11" i="1"/>
  <c r="E7" i="1"/>
  <c r="N293" i="1"/>
  <c r="N8" i="1"/>
  <c r="N7" i="1" s="1"/>
  <c r="N12" i="1"/>
  <c r="N13" i="1"/>
  <c r="N14" i="1"/>
  <c r="N15" i="1"/>
  <c r="N19" i="1"/>
  <c r="N20" i="1"/>
  <c r="N23" i="1"/>
  <c r="N28" i="1"/>
  <c r="N29" i="1"/>
  <c r="N33" i="1"/>
  <c r="N32" i="1" s="1"/>
  <c r="N38" i="1"/>
  <c r="N39" i="1"/>
  <c r="N40" i="1"/>
  <c r="N41" i="1"/>
  <c r="N42" i="1"/>
  <c r="N44" i="1"/>
  <c r="N51" i="1"/>
  <c r="N62" i="1"/>
  <c r="N63" i="1"/>
  <c r="N67" i="1"/>
  <c r="N66" i="1" s="1"/>
  <c r="N70" i="1"/>
  <c r="N80" i="1"/>
  <c r="N81" i="1"/>
  <c r="N82" i="1"/>
  <c r="N84" i="1"/>
  <c r="N87" i="1"/>
  <c r="N89" i="1"/>
  <c r="N90" i="1"/>
  <c r="N91" i="1"/>
  <c r="N92" i="1"/>
  <c r="N93" i="1"/>
  <c r="N94" i="1"/>
  <c r="N97" i="1"/>
  <c r="N98" i="1"/>
  <c r="N99" i="1"/>
  <c r="N100" i="1"/>
  <c r="N103" i="1"/>
  <c r="N104" i="1"/>
  <c r="N105" i="1"/>
  <c r="N106" i="1"/>
  <c r="N107" i="1"/>
  <c r="N110" i="1"/>
  <c r="N111" i="1"/>
  <c r="N112" i="1"/>
  <c r="N113" i="1"/>
  <c r="N118" i="1"/>
  <c r="N119" i="1"/>
  <c r="N120" i="1"/>
  <c r="N121" i="1"/>
  <c r="N122" i="1"/>
  <c r="N123" i="1"/>
  <c r="N124" i="1"/>
  <c r="N125" i="1"/>
  <c r="N128" i="1"/>
  <c r="N129" i="1"/>
  <c r="N130" i="1"/>
  <c r="N133" i="1"/>
  <c r="N134" i="1"/>
  <c r="N135" i="1"/>
  <c r="N137" i="1"/>
  <c r="N138" i="1"/>
  <c r="N139" i="1"/>
  <c r="N140" i="1"/>
  <c r="N141" i="1"/>
  <c r="N142" i="1"/>
  <c r="N146" i="1"/>
  <c r="N147" i="1"/>
  <c r="N149" i="1"/>
  <c r="N150" i="1"/>
  <c r="N151" i="1"/>
  <c r="N152" i="1"/>
  <c r="N153" i="1"/>
  <c r="N154" i="1"/>
  <c r="N157" i="1"/>
  <c r="N158" i="1"/>
  <c r="N159" i="1"/>
  <c r="N161" i="1"/>
  <c r="N162" i="1"/>
  <c r="N163" i="1"/>
  <c r="N164" i="1"/>
  <c r="N165" i="1"/>
  <c r="N166" i="1"/>
  <c r="N169" i="1"/>
  <c r="N170" i="1"/>
  <c r="N171" i="1"/>
  <c r="N172" i="1"/>
  <c r="N175" i="1"/>
  <c r="N176" i="1"/>
  <c r="N177" i="1"/>
  <c r="N178" i="1"/>
  <c r="N179" i="1"/>
  <c r="N181" i="1"/>
  <c r="N185" i="1"/>
  <c r="N186" i="1"/>
  <c r="N187" i="1"/>
  <c r="N188" i="1"/>
  <c r="N189" i="1"/>
  <c r="N191" i="1"/>
  <c r="N192" i="1"/>
  <c r="N193" i="1"/>
  <c r="N194" i="1"/>
  <c r="N195" i="1"/>
  <c r="N197" i="1"/>
  <c r="N198" i="1"/>
  <c r="N199" i="1"/>
  <c r="N200" i="1"/>
  <c r="N201" i="1"/>
  <c r="N203" i="1"/>
  <c r="N204" i="1"/>
  <c r="N205" i="1"/>
  <c r="N206" i="1"/>
  <c r="N207" i="1"/>
  <c r="N209" i="1"/>
  <c r="N210" i="1"/>
  <c r="N211" i="1"/>
  <c r="N212" i="1"/>
  <c r="N213" i="1"/>
  <c r="N215" i="1"/>
  <c r="N216" i="1"/>
  <c r="N217" i="1"/>
  <c r="N218" i="1"/>
  <c r="N219" i="1"/>
  <c r="N221" i="1"/>
  <c r="N222" i="1"/>
  <c r="N223" i="1"/>
  <c r="N224" i="1"/>
  <c r="N225" i="1"/>
  <c r="N229" i="1"/>
  <c r="N230" i="1"/>
  <c r="N231" i="1"/>
  <c r="N233" i="1"/>
  <c r="N235" i="1"/>
  <c r="N239" i="1"/>
  <c r="N240" i="1"/>
  <c r="N241" i="1"/>
  <c r="N242" i="1"/>
  <c r="N243" i="1"/>
  <c r="N244" i="1"/>
  <c r="N245" i="1"/>
  <c r="N246" i="1"/>
  <c r="N247" i="1"/>
  <c r="N254" i="1"/>
  <c r="N255" i="1"/>
  <c r="N256" i="1"/>
  <c r="N257" i="1"/>
  <c r="N258" i="1"/>
  <c r="N259" i="1"/>
  <c r="N262" i="1"/>
  <c r="N263" i="1"/>
  <c r="N266" i="1"/>
  <c r="N267" i="1"/>
  <c r="N271" i="1"/>
  <c r="N272" i="1"/>
  <c r="N276" i="1"/>
  <c r="N277" i="1"/>
  <c r="N278" i="1"/>
  <c r="N269" i="1" l="1"/>
  <c r="N265" i="1"/>
  <c r="E78" i="1"/>
  <c r="E60" i="1"/>
  <c r="N27" i="1"/>
  <c r="N190" i="1"/>
  <c r="N220" i="1"/>
  <c r="N274" i="1"/>
  <c r="N37" i="1"/>
  <c r="N36" i="1" s="1"/>
  <c r="N270" i="1"/>
  <c r="N11" i="1"/>
  <c r="N148" i="1"/>
  <c r="N144" i="1" s="1"/>
  <c r="N61" i="1"/>
  <c r="N60" i="1" s="1"/>
  <c r="N136" i="1"/>
  <c r="N132" i="1" s="1"/>
  <c r="N86" i="1"/>
  <c r="N96" i="1"/>
  <c r="N88" i="1"/>
  <c r="N208" i="1"/>
  <c r="N214" i="1"/>
  <c r="N275" i="1"/>
  <c r="N127" i="1"/>
  <c r="N117" i="1"/>
  <c r="N196" i="1"/>
  <c r="N261" i="1"/>
  <c r="N202" i="1"/>
  <c r="N184" i="1"/>
  <c r="N160" i="1"/>
  <c r="N156" i="1" s="1"/>
  <c r="N109" i="1"/>
  <c r="N102" i="1"/>
  <c r="N238" i="1"/>
  <c r="N168" i="1"/>
  <c r="N228" i="1"/>
  <c r="N174" i="1"/>
  <c r="N18" i="1"/>
  <c r="N251" i="1"/>
  <c r="N79" i="1"/>
  <c r="M146" i="1"/>
  <c r="M91" i="1"/>
  <c r="M63" i="1"/>
  <c r="M125" i="1"/>
  <c r="M124" i="1"/>
  <c r="M123" i="1"/>
  <c r="M122" i="1"/>
  <c r="M121" i="1"/>
  <c r="M120" i="1"/>
  <c r="M119" i="1"/>
  <c r="M118" i="1"/>
  <c r="M129" i="1"/>
  <c r="M128" i="1"/>
  <c r="M130" i="1"/>
  <c r="M141" i="1"/>
  <c r="M140" i="1"/>
  <c r="M139" i="1"/>
  <c r="M138" i="1"/>
  <c r="M137" i="1"/>
  <c r="M135" i="1"/>
  <c r="M134" i="1"/>
  <c r="M133" i="1"/>
  <c r="M142" i="1"/>
  <c r="M147" i="1"/>
  <c r="M153" i="1"/>
  <c r="M152" i="1"/>
  <c r="M151" i="1"/>
  <c r="M150" i="1"/>
  <c r="M149" i="1"/>
  <c r="M154" i="1"/>
  <c r="M159" i="1"/>
  <c r="M158" i="1"/>
  <c r="M157" i="1"/>
  <c r="M166" i="1"/>
  <c r="M165" i="1"/>
  <c r="M164" i="1"/>
  <c r="M163" i="1"/>
  <c r="M162" i="1"/>
  <c r="M161" i="1"/>
  <c r="M172" i="1"/>
  <c r="M171" i="1"/>
  <c r="M170" i="1"/>
  <c r="M169" i="1"/>
  <c r="M181" i="1"/>
  <c r="M179" i="1"/>
  <c r="M178" i="1"/>
  <c r="M177" i="1"/>
  <c r="M176" i="1"/>
  <c r="M175" i="1"/>
  <c r="M189" i="1"/>
  <c r="M188" i="1"/>
  <c r="M187" i="1"/>
  <c r="M186" i="1"/>
  <c r="M185" i="1"/>
  <c r="M195" i="1"/>
  <c r="M194" i="1"/>
  <c r="M193" i="1"/>
  <c r="M192" i="1"/>
  <c r="M191" i="1"/>
  <c r="M201" i="1"/>
  <c r="M200" i="1"/>
  <c r="M199" i="1"/>
  <c r="M198" i="1"/>
  <c r="M197" i="1"/>
  <c r="M207" i="1"/>
  <c r="M206" i="1"/>
  <c r="M205" i="1"/>
  <c r="M204" i="1"/>
  <c r="M203" i="1"/>
  <c r="M213" i="1"/>
  <c r="M212" i="1"/>
  <c r="M211" i="1"/>
  <c r="M210" i="1"/>
  <c r="M209" i="1"/>
  <c r="M219" i="1"/>
  <c r="M218" i="1"/>
  <c r="M217" i="1"/>
  <c r="M216" i="1"/>
  <c r="M215" i="1"/>
  <c r="M224" i="1"/>
  <c r="M223" i="1"/>
  <c r="M222" i="1"/>
  <c r="M221" i="1"/>
  <c r="M225" i="1"/>
  <c r="M235" i="1"/>
  <c r="M233" i="1"/>
  <c r="M231" i="1"/>
  <c r="M230" i="1"/>
  <c r="M229" i="1"/>
  <c r="M247" i="1"/>
  <c r="M246" i="1"/>
  <c r="M245" i="1"/>
  <c r="M244" i="1"/>
  <c r="M243" i="1"/>
  <c r="M242" i="1"/>
  <c r="M241" i="1"/>
  <c r="M240" i="1"/>
  <c r="M239" i="1"/>
  <c r="M259" i="1"/>
  <c r="M258" i="1"/>
  <c r="M257" i="1"/>
  <c r="M256" i="1"/>
  <c r="M255" i="1"/>
  <c r="M254" i="1"/>
  <c r="M263" i="1"/>
  <c r="M262" i="1"/>
  <c r="M267" i="1"/>
  <c r="M266" i="1"/>
  <c r="M272" i="1"/>
  <c r="M271" i="1"/>
  <c r="M278" i="1"/>
  <c r="M277" i="1"/>
  <c r="M276" i="1"/>
  <c r="M113" i="1"/>
  <c r="M112" i="1"/>
  <c r="M111" i="1"/>
  <c r="M110" i="1"/>
  <c r="M107" i="1"/>
  <c r="M106" i="1"/>
  <c r="M105" i="1"/>
  <c r="M104" i="1"/>
  <c r="M103" i="1"/>
  <c r="M100" i="1"/>
  <c r="M99" i="1"/>
  <c r="M98" i="1"/>
  <c r="M97" i="1"/>
  <c r="M94" i="1"/>
  <c r="M93" i="1"/>
  <c r="M92" i="1"/>
  <c r="M90" i="1"/>
  <c r="M89" i="1"/>
  <c r="M87" i="1"/>
  <c r="M84" i="1"/>
  <c r="M82" i="1"/>
  <c r="M81" i="1"/>
  <c r="M80" i="1"/>
  <c r="M67" i="1"/>
  <c r="B63" i="1"/>
  <c r="M42" i="1"/>
  <c r="M41" i="1"/>
  <c r="M40" i="1"/>
  <c r="M39" i="1"/>
  <c r="M38" i="1"/>
  <c r="M33" i="1"/>
  <c r="M32" i="1" s="1"/>
  <c r="M29" i="1"/>
  <c r="M28" i="1"/>
  <c r="M20" i="1"/>
  <c r="M19" i="1"/>
  <c r="M15" i="1"/>
  <c r="M14" i="1"/>
  <c r="M13" i="1"/>
  <c r="M12" i="1"/>
  <c r="B38" i="1"/>
  <c r="K37" i="1"/>
  <c r="J37" i="1"/>
  <c r="B37" i="1"/>
  <c r="B36" i="1"/>
  <c r="B35" i="1"/>
  <c r="B34" i="1"/>
  <c r="B33" i="1"/>
  <c r="K32" i="1"/>
  <c r="J32" i="1"/>
  <c r="I32" i="1"/>
  <c r="H32" i="1"/>
  <c r="G32" i="1"/>
  <c r="B32" i="1"/>
  <c r="B31" i="1"/>
  <c r="B30" i="1"/>
  <c r="B29" i="1"/>
  <c r="B28" i="1"/>
  <c r="K27" i="1"/>
  <c r="J27" i="1"/>
  <c r="I27" i="1"/>
  <c r="H27" i="1"/>
  <c r="G27" i="1"/>
  <c r="B27" i="1"/>
  <c r="B26" i="1"/>
  <c r="B25" i="1"/>
  <c r="B24" i="1"/>
  <c r="M23" i="1"/>
  <c r="L23" i="1"/>
  <c r="K23" i="1"/>
  <c r="J23" i="1"/>
  <c r="I23" i="1"/>
  <c r="B23" i="1"/>
  <c r="B22" i="1"/>
  <c r="B21" i="1"/>
  <c r="B20" i="1"/>
  <c r="B19" i="1"/>
  <c r="K18" i="1"/>
  <c r="J18" i="1"/>
  <c r="I18" i="1"/>
  <c r="H18" i="1"/>
  <c r="B18" i="1"/>
  <c r="B17" i="1"/>
  <c r="B16" i="1"/>
  <c r="B15" i="1"/>
  <c r="B14" i="1"/>
  <c r="B13" i="1"/>
  <c r="B12" i="1"/>
  <c r="K11" i="1"/>
  <c r="J11" i="1"/>
  <c r="I11" i="1"/>
  <c r="H11" i="1"/>
  <c r="G11" i="1"/>
  <c r="B11" i="1"/>
  <c r="B10" i="1"/>
  <c r="B9" i="1"/>
  <c r="B8" i="1"/>
  <c r="K7" i="1"/>
  <c r="J7" i="1"/>
  <c r="I7" i="1"/>
  <c r="H7" i="1"/>
  <c r="B7" i="1"/>
  <c r="B6" i="1"/>
  <c r="M8" i="1"/>
  <c r="M7" i="1" s="1"/>
  <c r="M293" i="1"/>
  <c r="M70" i="1"/>
  <c r="M66" i="1"/>
  <c r="M51" i="1"/>
  <c r="M44" i="1"/>
  <c r="L179" i="1"/>
  <c r="L293" i="1"/>
  <c r="L278" i="1"/>
  <c r="L277" i="1"/>
  <c r="L276" i="1"/>
  <c r="L272" i="1"/>
  <c r="L271" i="1"/>
  <c r="L267" i="1"/>
  <c r="L266" i="1"/>
  <c r="L263" i="1"/>
  <c r="L262" i="1"/>
  <c r="H194" i="70"/>
  <c r="L259" i="1" s="1"/>
  <c r="L258" i="1"/>
  <c r="L257" i="1"/>
  <c r="L256" i="1"/>
  <c r="L255" i="1"/>
  <c r="L254" i="1"/>
  <c r="L247" i="1"/>
  <c r="L246" i="1"/>
  <c r="L245" i="1"/>
  <c r="L244" i="1"/>
  <c r="L243" i="1"/>
  <c r="L242" i="1"/>
  <c r="L241" i="1"/>
  <c r="L240" i="1"/>
  <c r="L239" i="1"/>
  <c r="L235" i="1"/>
  <c r="L233" i="1"/>
  <c r="L231" i="1"/>
  <c r="L230" i="1"/>
  <c r="L229" i="1"/>
  <c r="L225" i="1"/>
  <c r="L224" i="1"/>
  <c r="L223" i="1"/>
  <c r="L222" i="1"/>
  <c r="L221" i="1"/>
  <c r="L219" i="1"/>
  <c r="L218" i="1"/>
  <c r="L217" i="1"/>
  <c r="L216" i="1"/>
  <c r="L215" i="1"/>
  <c r="L213" i="1"/>
  <c r="L212" i="1"/>
  <c r="L211" i="1"/>
  <c r="L210" i="1"/>
  <c r="L209" i="1"/>
  <c r="L207" i="1"/>
  <c r="L206" i="1"/>
  <c r="L205" i="1"/>
  <c r="L204" i="1"/>
  <c r="L203" i="1"/>
  <c r="L201" i="1"/>
  <c r="L200" i="1"/>
  <c r="L199" i="1"/>
  <c r="L198" i="1"/>
  <c r="L197" i="1"/>
  <c r="L195" i="1"/>
  <c r="L194" i="1"/>
  <c r="L193" i="1"/>
  <c r="L192" i="1"/>
  <c r="L191" i="1"/>
  <c r="L189" i="1"/>
  <c r="L188" i="1"/>
  <c r="L187" i="1"/>
  <c r="L186" i="1"/>
  <c r="L185" i="1"/>
  <c r="L181" i="1"/>
  <c r="L178" i="1"/>
  <c r="L177" i="1"/>
  <c r="L176" i="1"/>
  <c r="L175" i="1"/>
  <c r="L172" i="1"/>
  <c r="L171" i="1"/>
  <c r="L170" i="1"/>
  <c r="L169" i="1"/>
  <c r="L166" i="1"/>
  <c r="L165" i="1"/>
  <c r="L164" i="1"/>
  <c r="L163" i="1"/>
  <c r="L162" i="1"/>
  <c r="L161" i="1"/>
  <c r="L159" i="1"/>
  <c r="L158" i="1"/>
  <c r="L157" i="1"/>
  <c r="L154" i="1"/>
  <c r="L153" i="1"/>
  <c r="L152" i="1"/>
  <c r="L151" i="1"/>
  <c r="L150" i="1"/>
  <c r="L149" i="1"/>
  <c r="L147" i="1"/>
  <c r="L146" i="1"/>
  <c r="L142" i="1"/>
  <c r="L141" i="1"/>
  <c r="L140" i="1"/>
  <c r="L139" i="1"/>
  <c r="L138" i="1"/>
  <c r="L137" i="1"/>
  <c r="L135" i="1"/>
  <c r="L134" i="1"/>
  <c r="L133" i="1"/>
  <c r="L130" i="1"/>
  <c r="L129" i="1"/>
  <c r="L128" i="1"/>
  <c r="L125" i="1"/>
  <c r="L124" i="1"/>
  <c r="L123" i="1"/>
  <c r="L122" i="1"/>
  <c r="L121" i="1"/>
  <c r="L120" i="1"/>
  <c r="L119" i="1"/>
  <c r="L118" i="1"/>
  <c r="L113" i="1"/>
  <c r="L112" i="1"/>
  <c r="L111" i="1"/>
  <c r="L110" i="1"/>
  <c r="L107" i="1"/>
  <c r="L106" i="1"/>
  <c r="L105" i="1"/>
  <c r="L104" i="1"/>
  <c r="L103" i="1"/>
  <c r="L100" i="1"/>
  <c r="L99" i="1"/>
  <c r="L98" i="1"/>
  <c r="L97" i="1"/>
  <c r="L93" i="1"/>
  <c r="L92" i="1"/>
  <c r="L91" i="1"/>
  <c r="L90" i="1"/>
  <c r="L89" i="1"/>
  <c r="L94" i="1"/>
  <c r="L87" i="1"/>
  <c r="L84" i="1"/>
  <c r="L82" i="1"/>
  <c r="L81" i="1"/>
  <c r="L80" i="1"/>
  <c r="L67" i="1"/>
  <c r="L42" i="1"/>
  <c r="L41" i="1"/>
  <c r="L40" i="1"/>
  <c r="L39" i="1"/>
  <c r="L38" i="1"/>
  <c r="L29" i="1"/>
  <c r="L28" i="1"/>
  <c r="L20" i="1"/>
  <c r="L19" i="1"/>
  <c r="L15" i="1"/>
  <c r="L14" i="1"/>
  <c r="L13" i="1"/>
  <c r="L12" i="1"/>
  <c r="L8" i="1"/>
  <c r="L7" i="1" s="1"/>
  <c r="L33" i="1"/>
  <c r="L32" i="1" s="1"/>
  <c r="N250" i="1" l="1"/>
  <c r="L275" i="1"/>
  <c r="L27" i="1"/>
  <c r="M208" i="1"/>
  <c r="M261" i="1"/>
  <c r="N6" i="1"/>
  <c r="N74" i="1" s="1"/>
  <c r="N281" i="1" s="1"/>
  <c r="M202" i="1"/>
  <c r="M117" i="1"/>
  <c r="L261" i="1"/>
  <c r="M214" i="1"/>
  <c r="L88" i="1"/>
  <c r="M148" i="1"/>
  <c r="M144" i="1" s="1"/>
  <c r="L202" i="1"/>
  <c r="M275" i="1"/>
  <c r="L136" i="1"/>
  <c r="L132" i="1" s="1"/>
  <c r="M37" i="1"/>
  <c r="M36" i="1" s="1"/>
  <c r="L184" i="1"/>
  <c r="L270" i="1"/>
  <c r="M96" i="1"/>
  <c r="N183" i="1"/>
  <c r="N116" i="1" s="1"/>
  <c r="N78" i="1"/>
  <c r="K6" i="1"/>
  <c r="L190" i="1"/>
  <c r="L269" i="1"/>
  <c r="L168" i="1"/>
  <c r="M11" i="1"/>
  <c r="M251" i="1"/>
  <c r="M238" i="1"/>
  <c r="M196" i="1"/>
  <c r="M184" i="1"/>
  <c r="M160" i="1"/>
  <c r="M156" i="1" s="1"/>
  <c r="M127" i="1"/>
  <c r="L18" i="1"/>
  <c r="L196" i="1"/>
  <c r="L274" i="1"/>
  <c r="L37" i="1"/>
  <c r="L228" i="1"/>
  <c r="L251" i="1"/>
  <c r="M18" i="1"/>
  <c r="M88" i="1"/>
  <c r="M265" i="1"/>
  <c r="M250" i="1" s="1"/>
  <c r="M190" i="1"/>
  <c r="M168" i="1"/>
  <c r="L11" i="1"/>
  <c r="L174" i="1"/>
  <c r="L96" i="1"/>
  <c r="L160" i="1"/>
  <c r="L156" i="1" s="1"/>
  <c r="M174" i="1"/>
  <c r="L214" i="1"/>
  <c r="M136" i="1"/>
  <c r="M132" i="1" s="1"/>
  <c r="L102" i="1"/>
  <c r="L127" i="1"/>
  <c r="L86" i="1"/>
  <c r="M270" i="1"/>
  <c r="L238" i="1"/>
  <c r="M86" i="1"/>
  <c r="L109" i="1"/>
  <c r="M109" i="1"/>
  <c r="L79" i="1"/>
  <c r="L148" i="1"/>
  <c r="L144" i="1" s="1"/>
  <c r="M27" i="1"/>
  <c r="M102" i="1"/>
  <c r="M220" i="1"/>
  <c r="M228" i="1"/>
  <c r="M269" i="1"/>
  <c r="M79" i="1"/>
  <c r="M274" i="1"/>
  <c r="L265" i="1"/>
  <c r="L220" i="1"/>
  <c r="L208" i="1"/>
  <c r="L117" i="1"/>
  <c r="L250" i="1" l="1"/>
  <c r="N280" i="1"/>
  <c r="N282" i="1" s="1"/>
  <c r="N297" i="1" s="1"/>
  <c r="N302" i="1" s="1"/>
  <c r="M78" i="1"/>
  <c r="L78" i="1"/>
  <c r="M183" i="1"/>
  <c r="M116" i="1" s="1"/>
  <c r="M6" i="1"/>
  <c r="L183" i="1"/>
  <c r="L6" i="1"/>
  <c r="L116" i="1"/>
  <c r="L280" i="1" l="1"/>
  <c r="M280" i="1"/>
  <c r="L63" i="1"/>
  <c r="L62" i="1"/>
  <c r="F291" i="70"/>
  <c r="D291" i="70"/>
  <c r="F288" i="70"/>
  <c r="D288" i="70"/>
  <c r="X274" i="70"/>
  <c r="W274" i="70"/>
  <c r="V274" i="70"/>
  <c r="U274" i="70"/>
  <c r="T274" i="70"/>
  <c r="S274" i="70"/>
  <c r="R274" i="70"/>
  <c r="Q274" i="70"/>
  <c r="P274" i="70"/>
  <c r="O274" i="70"/>
  <c r="N274" i="70"/>
  <c r="M274" i="70"/>
  <c r="L274" i="70"/>
  <c r="J274" i="70"/>
  <c r="H274" i="70"/>
  <c r="E274" i="70"/>
  <c r="X261" i="70"/>
  <c r="W261" i="70"/>
  <c r="V261" i="70"/>
  <c r="U261" i="70"/>
  <c r="T261" i="70"/>
  <c r="S261" i="70"/>
  <c r="R261" i="70"/>
  <c r="Q261" i="70"/>
  <c r="P261" i="70"/>
  <c r="O261" i="70"/>
  <c r="N261" i="70"/>
  <c r="M261" i="70"/>
  <c r="L261" i="70"/>
  <c r="J261" i="70"/>
  <c r="H261" i="70"/>
  <c r="F261" i="70"/>
  <c r="E261" i="70"/>
  <c r="D261" i="70"/>
  <c r="K260" i="70"/>
  <c r="G260" i="70"/>
  <c r="I260" i="70" s="1"/>
  <c r="K258" i="70"/>
  <c r="I258" i="70"/>
  <c r="G258" i="70"/>
  <c r="G261" i="70" s="1"/>
  <c r="X257" i="70"/>
  <c r="W257" i="70"/>
  <c r="V257" i="70"/>
  <c r="U257" i="70"/>
  <c r="T257" i="70"/>
  <c r="S257" i="70"/>
  <c r="R257" i="70"/>
  <c r="Q257" i="70"/>
  <c r="P257" i="70"/>
  <c r="O257" i="70"/>
  <c r="N257" i="70"/>
  <c r="M257" i="70"/>
  <c r="L257" i="70"/>
  <c r="J257" i="70"/>
  <c r="H257" i="70"/>
  <c r="F257" i="70"/>
  <c r="E257" i="70"/>
  <c r="D257" i="70"/>
  <c r="K256" i="70"/>
  <c r="I256" i="70"/>
  <c r="G256" i="70"/>
  <c r="K255" i="70"/>
  <c r="I255" i="70"/>
  <c r="G255" i="70"/>
  <c r="G257" i="70" s="1"/>
  <c r="X254" i="70"/>
  <c r="W254" i="70"/>
  <c r="V254" i="70"/>
  <c r="U254" i="70"/>
  <c r="T254" i="70"/>
  <c r="S254" i="70"/>
  <c r="R254" i="70"/>
  <c r="Q254" i="70"/>
  <c r="P254" i="70"/>
  <c r="O254" i="70"/>
  <c r="N254" i="70"/>
  <c r="M254" i="70"/>
  <c r="L254" i="70"/>
  <c r="J254" i="70"/>
  <c r="H254" i="70"/>
  <c r="F254" i="70"/>
  <c r="E254" i="70"/>
  <c r="D254" i="70"/>
  <c r="K253" i="70"/>
  <c r="I253" i="70"/>
  <c r="G253" i="70"/>
  <c r="K252" i="70"/>
  <c r="I252" i="70"/>
  <c r="G252" i="70"/>
  <c r="K251" i="70"/>
  <c r="I251" i="70"/>
  <c r="G251" i="70"/>
  <c r="K250" i="70"/>
  <c r="I250" i="70"/>
  <c r="G250" i="70"/>
  <c r="K249" i="70"/>
  <c r="I249" i="70"/>
  <c r="G249" i="70"/>
  <c r="K247" i="70"/>
  <c r="I247" i="70"/>
  <c r="G247" i="70"/>
  <c r="K246" i="70"/>
  <c r="I246" i="70"/>
  <c r="G246" i="70"/>
  <c r="K245" i="70"/>
  <c r="I245" i="70"/>
  <c r="G245" i="70"/>
  <c r="K244" i="70"/>
  <c r="I244" i="70"/>
  <c r="G244" i="70"/>
  <c r="K243" i="70"/>
  <c r="I243" i="70"/>
  <c r="G243" i="70"/>
  <c r="K242" i="70"/>
  <c r="I242" i="70"/>
  <c r="G242" i="70"/>
  <c r="K241" i="70"/>
  <c r="I241" i="70"/>
  <c r="G241" i="70"/>
  <c r="K240" i="70"/>
  <c r="I240" i="70"/>
  <c r="G240" i="70"/>
  <c r="K239" i="70"/>
  <c r="I239" i="70"/>
  <c r="G239" i="70"/>
  <c r="K237" i="70"/>
  <c r="I237" i="70"/>
  <c r="G237" i="70"/>
  <c r="K236" i="70"/>
  <c r="I236" i="70"/>
  <c r="G236" i="70"/>
  <c r="K235" i="70"/>
  <c r="I235" i="70"/>
  <c r="G235" i="70"/>
  <c r="K234" i="70"/>
  <c r="I234" i="70"/>
  <c r="G234" i="70"/>
  <c r="K233" i="70"/>
  <c r="I233" i="70"/>
  <c r="G233" i="70"/>
  <c r="K232" i="70"/>
  <c r="I232" i="70"/>
  <c r="G232" i="70"/>
  <c r="K231" i="70"/>
  <c r="I231" i="70"/>
  <c r="G231" i="70"/>
  <c r="K230" i="70"/>
  <c r="I230" i="70"/>
  <c r="G230" i="70"/>
  <c r="K229" i="70"/>
  <c r="I229" i="70"/>
  <c r="G229" i="70"/>
  <c r="K227" i="70"/>
  <c r="I227" i="70"/>
  <c r="G227" i="70"/>
  <c r="K226" i="70"/>
  <c r="I226" i="70"/>
  <c r="G226" i="70"/>
  <c r="K225" i="70"/>
  <c r="I225" i="70"/>
  <c r="G225" i="70"/>
  <c r="K224" i="70"/>
  <c r="I224" i="70"/>
  <c r="G224" i="70"/>
  <c r="K223" i="70"/>
  <c r="I223" i="70"/>
  <c r="G223" i="70"/>
  <c r="K222" i="70"/>
  <c r="I222" i="70"/>
  <c r="G222" i="70"/>
  <c r="K221" i="70"/>
  <c r="I221" i="70"/>
  <c r="G221" i="70"/>
  <c r="K220" i="70"/>
  <c r="I220" i="70"/>
  <c r="G220" i="70"/>
  <c r="K219" i="70"/>
  <c r="I219" i="70"/>
  <c r="G219" i="70"/>
  <c r="K217" i="70"/>
  <c r="I217" i="70"/>
  <c r="G217" i="70"/>
  <c r="K216" i="70"/>
  <c r="I216" i="70"/>
  <c r="G216" i="70"/>
  <c r="K215" i="70"/>
  <c r="I215" i="70"/>
  <c r="G215" i="70"/>
  <c r="K214" i="70"/>
  <c r="I214" i="70"/>
  <c r="G214" i="70"/>
  <c r="K213" i="70"/>
  <c r="I213" i="70"/>
  <c r="G213" i="70"/>
  <c r="K212" i="70"/>
  <c r="I212" i="70"/>
  <c r="G212" i="70"/>
  <c r="K211" i="70"/>
  <c r="I211" i="70"/>
  <c r="G211" i="70"/>
  <c r="K210" i="70"/>
  <c r="I210" i="70"/>
  <c r="G210" i="70"/>
  <c r="K209" i="70"/>
  <c r="I209" i="70"/>
  <c r="G209" i="70"/>
  <c r="K207" i="70"/>
  <c r="I207" i="70"/>
  <c r="G207" i="70"/>
  <c r="K206" i="70"/>
  <c r="I206" i="70"/>
  <c r="G206" i="70"/>
  <c r="K205" i="70"/>
  <c r="I205" i="70"/>
  <c r="G205" i="70"/>
  <c r="K204" i="70"/>
  <c r="I204" i="70"/>
  <c r="G204" i="70"/>
  <c r="K203" i="70"/>
  <c r="I203" i="70"/>
  <c r="G203" i="70"/>
  <c r="K202" i="70"/>
  <c r="I202" i="70"/>
  <c r="G202" i="70"/>
  <c r="K201" i="70"/>
  <c r="I201" i="70"/>
  <c r="G201" i="70"/>
  <c r="K200" i="70"/>
  <c r="I200" i="70"/>
  <c r="G200" i="70"/>
  <c r="K199" i="70"/>
  <c r="I199" i="70"/>
  <c r="G199" i="70"/>
  <c r="K197" i="70"/>
  <c r="I197" i="70"/>
  <c r="G197" i="70"/>
  <c r="K196" i="70"/>
  <c r="I196" i="70"/>
  <c r="G196" i="70"/>
  <c r="K195" i="70"/>
  <c r="I195" i="70"/>
  <c r="G195" i="70"/>
  <c r="K194" i="70"/>
  <c r="I194" i="70"/>
  <c r="G194" i="70"/>
  <c r="K193" i="70"/>
  <c r="I193" i="70"/>
  <c r="G193" i="70"/>
  <c r="K192" i="70"/>
  <c r="I192" i="70"/>
  <c r="G192" i="70"/>
  <c r="K190" i="70"/>
  <c r="I190" i="70"/>
  <c r="G190" i="70"/>
  <c r="K189" i="70"/>
  <c r="I189" i="70"/>
  <c r="G189" i="70"/>
  <c r="K188" i="70"/>
  <c r="I188" i="70"/>
  <c r="G188" i="70"/>
  <c r="K187" i="70"/>
  <c r="I187" i="70"/>
  <c r="G187" i="70"/>
  <c r="K186" i="70"/>
  <c r="I186" i="70"/>
  <c r="G186" i="70"/>
  <c r="K185" i="70"/>
  <c r="I185" i="70"/>
  <c r="G185" i="70"/>
  <c r="K184" i="70"/>
  <c r="I184" i="70"/>
  <c r="G184" i="70"/>
  <c r="K183" i="70"/>
  <c r="I183" i="70"/>
  <c r="G183" i="70"/>
  <c r="X180" i="70"/>
  <c r="W180" i="70"/>
  <c r="V180" i="70"/>
  <c r="U180" i="70"/>
  <c r="T180" i="70"/>
  <c r="S180" i="70"/>
  <c r="R180" i="70"/>
  <c r="Q180" i="70"/>
  <c r="P180" i="70"/>
  <c r="O180" i="70"/>
  <c r="N180" i="70"/>
  <c r="M180" i="70"/>
  <c r="L180" i="70"/>
  <c r="J180" i="70"/>
  <c r="H180" i="70"/>
  <c r="F180" i="70"/>
  <c r="E180" i="70"/>
  <c r="D180" i="70"/>
  <c r="K179" i="70"/>
  <c r="I179" i="70"/>
  <c r="G179" i="70"/>
  <c r="K178" i="70"/>
  <c r="I178" i="70"/>
  <c r="G178" i="70"/>
  <c r="K176" i="70"/>
  <c r="I176" i="70"/>
  <c r="G176" i="70"/>
  <c r="K175" i="70"/>
  <c r="I175" i="70"/>
  <c r="G175" i="70"/>
  <c r="K174" i="70"/>
  <c r="I174" i="70"/>
  <c r="G174" i="70"/>
  <c r="K173" i="70"/>
  <c r="I173" i="70"/>
  <c r="G173" i="70"/>
  <c r="K172" i="70"/>
  <c r="I172" i="70"/>
  <c r="G172" i="70"/>
  <c r="K171" i="70"/>
  <c r="I171" i="70"/>
  <c r="G171" i="70"/>
  <c r="K170" i="70"/>
  <c r="I170" i="70"/>
  <c r="G170" i="70"/>
  <c r="K169" i="70"/>
  <c r="I169" i="70"/>
  <c r="G169" i="70"/>
  <c r="I167" i="70"/>
  <c r="G167" i="70"/>
  <c r="K166" i="70"/>
  <c r="I166" i="70"/>
  <c r="G166" i="70"/>
  <c r="I165" i="70"/>
  <c r="G165" i="70"/>
  <c r="K164" i="70"/>
  <c r="I164" i="70"/>
  <c r="G164" i="70"/>
  <c r="K163" i="70"/>
  <c r="I163" i="70"/>
  <c r="G163" i="70"/>
  <c r="K162" i="70"/>
  <c r="I162" i="70"/>
  <c r="G162" i="70"/>
  <c r="K161" i="70"/>
  <c r="I161" i="70"/>
  <c r="G161" i="70"/>
  <c r="K160" i="70"/>
  <c r="I160" i="70"/>
  <c r="G160" i="70"/>
  <c r="K159" i="70"/>
  <c r="I159" i="70"/>
  <c r="G159" i="70"/>
  <c r="K156" i="70"/>
  <c r="I156" i="70"/>
  <c r="G156" i="70"/>
  <c r="K155" i="70"/>
  <c r="I155" i="70"/>
  <c r="G155" i="70"/>
  <c r="K154" i="70"/>
  <c r="I154" i="70"/>
  <c r="G154" i="70"/>
  <c r="K153" i="70"/>
  <c r="I153" i="70"/>
  <c r="G153" i="70"/>
  <c r="K152" i="70"/>
  <c r="I152" i="70"/>
  <c r="G152" i="70"/>
  <c r="K151" i="70"/>
  <c r="I151" i="70"/>
  <c r="G151" i="70"/>
  <c r="K149" i="70"/>
  <c r="I149" i="70"/>
  <c r="G149" i="70"/>
  <c r="K148" i="70"/>
  <c r="I148" i="70"/>
  <c r="G148" i="70"/>
  <c r="K147" i="70"/>
  <c r="I147" i="70"/>
  <c r="G147" i="70"/>
  <c r="K146" i="70"/>
  <c r="I146" i="70"/>
  <c r="G146" i="70"/>
  <c r="K144" i="70"/>
  <c r="I144" i="70"/>
  <c r="G144" i="70"/>
  <c r="K143" i="70"/>
  <c r="I143" i="70"/>
  <c r="G143" i="70"/>
  <c r="K142" i="70"/>
  <c r="I142" i="70"/>
  <c r="G142" i="70"/>
  <c r="K140" i="70"/>
  <c r="I140" i="70"/>
  <c r="G140" i="70"/>
  <c r="K139" i="70"/>
  <c r="I139" i="70"/>
  <c r="G139" i="70"/>
  <c r="K135" i="70"/>
  <c r="I135" i="70"/>
  <c r="G135" i="70"/>
  <c r="K134" i="70"/>
  <c r="I134" i="70"/>
  <c r="G134" i="70"/>
  <c r="K133" i="70"/>
  <c r="I133" i="70"/>
  <c r="G133" i="70"/>
  <c r="K132" i="70"/>
  <c r="I132" i="70"/>
  <c r="G132" i="70"/>
  <c r="K130" i="70"/>
  <c r="I130" i="70"/>
  <c r="G130" i="70"/>
  <c r="K129" i="70"/>
  <c r="I129" i="70"/>
  <c r="G129" i="70"/>
  <c r="K128" i="70"/>
  <c r="I128" i="70"/>
  <c r="G128" i="70"/>
  <c r="K126" i="70"/>
  <c r="I126" i="70"/>
  <c r="G126" i="70"/>
  <c r="K125" i="70"/>
  <c r="I125" i="70"/>
  <c r="G125" i="70"/>
  <c r="K124" i="70"/>
  <c r="I124" i="70"/>
  <c r="G124" i="70"/>
  <c r="K123" i="70"/>
  <c r="I123" i="70"/>
  <c r="G123" i="70"/>
  <c r="K121" i="70"/>
  <c r="I121" i="70"/>
  <c r="G121" i="70"/>
  <c r="K120" i="70"/>
  <c r="I120" i="70"/>
  <c r="G120" i="70"/>
  <c r="K119" i="70"/>
  <c r="I119" i="70"/>
  <c r="G119" i="70"/>
  <c r="K117" i="70"/>
  <c r="I117" i="70"/>
  <c r="G117" i="70"/>
  <c r="K116" i="70"/>
  <c r="I116" i="70"/>
  <c r="G116" i="70"/>
  <c r="K114" i="70"/>
  <c r="I114" i="70"/>
  <c r="G114" i="70"/>
  <c r="K113" i="70"/>
  <c r="I113" i="70"/>
  <c r="G113" i="70"/>
  <c r="K112" i="70"/>
  <c r="I112" i="70"/>
  <c r="G112" i="70"/>
  <c r="K111" i="70"/>
  <c r="I111" i="70"/>
  <c r="G111" i="70"/>
  <c r="K110" i="70"/>
  <c r="I110" i="70"/>
  <c r="G110" i="70"/>
  <c r="K109" i="70"/>
  <c r="I109" i="70"/>
  <c r="G109" i="70"/>
  <c r="K107" i="70"/>
  <c r="I107" i="70"/>
  <c r="G107" i="70"/>
  <c r="K106" i="70"/>
  <c r="I106" i="70"/>
  <c r="G106" i="70"/>
  <c r="K105" i="70"/>
  <c r="I105" i="70"/>
  <c r="G105" i="70"/>
  <c r="K103" i="70"/>
  <c r="I103" i="70"/>
  <c r="G103" i="70"/>
  <c r="K102" i="70"/>
  <c r="I102" i="70"/>
  <c r="G102" i="70"/>
  <c r="K101" i="70"/>
  <c r="I101" i="70"/>
  <c r="G101" i="70"/>
  <c r="K100" i="70"/>
  <c r="I100" i="70"/>
  <c r="G100" i="70"/>
  <c r="K99" i="70"/>
  <c r="I99" i="70"/>
  <c r="G99" i="70"/>
  <c r="K98" i="70"/>
  <c r="I98" i="70"/>
  <c r="G98" i="70"/>
  <c r="K97" i="70"/>
  <c r="I97" i="70"/>
  <c r="G97" i="70"/>
  <c r="K96" i="70"/>
  <c r="I96" i="70"/>
  <c r="G96" i="70"/>
  <c r="K95" i="70"/>
  <c r="I95" i="70"/>
  <c r="G95" i="70"/>
  <c r="K93" i="70"/>
  <c r="I93" i="70"/>
  <c r="G93" i="70"/>
  <c r="K92" i="70"/>
  <c r="I92" i="70"/>
  <c r="G92" i="70"/>
  <c r="K91" i="70"/>
  <c r="I91" i="70"/>
  <c r="G91" i="70"/>
  <c r="K88" i="70"/>
  <c r="I88" i="70"/>
  <c r="G88" i="70"/>
  <c r="K87" i="70"/>
  <c r="I87" i="70"/>
  <c r="G87" i="70"/>
  <c r="K86" i="70"/>
  <c r="I86" i="70"/>
  <c r="G86" i="70"/>
  <c r="K84" i="70"/>
  <c r="I84" i="70"/>
  <c r="G84" i="70"/>
  <c r="K83" i="70"/>
  <c r="I83" i="70"/>
  <c r="G83" i="70"/>
  <c r="K82" i="70"/>
  <c r="I82" i="70"/>
  <c r="G82" i="70"/>
  <c r="K80" i="70"/>
  <c r="I80" i="70"/>
  <c r="G80" i="70"/>
  <c r="K79" i="70"/>
  <c r="I79" i="70"/>
  <c r="G79" i="70"/>
  <c r="K77" i="70"/>
  <c r="I77" i="70"/>
  <c r="G77" i="70"/>
  <c r="K76" i="70"/>
  <c r="I76" i="70"/>
  <c r="G76" i="70"/>
  <c r="K75" i="70"/>
  <c r="I75" i="70"/>
  <c r="G75" i="70"/>
  <c r="K73" i="70"/>
  <c r="I73" i="70"/>
  <c r="G73" i="70"/>
  <c r="K72" i="70"/>
  <c r="I72" i="70"/>
  <c r="G72" i="70"/>
  <c r="K71" i="70"/>
  <c r="I71" i="70"/>
  <c r="G71" i="70"/>
  <c r="K69" i="70"/>
  <c r="I69" i="70"/>
  <c r="G69" i="70"/>
  <c r="K68" i="70"/>
  <c r="I68" i="70"/>
  <c r="G68" i="70"/>
  <c r="K67" i="70"/>
  <c r="I67" i="70"/>
  <c r="G67" i="70"/>
  <c r="K66" i="70"/>
  <c r="I66" i="70"/>
  <c r="G66" i="70"/>
  <c r="K64" i="70"/>
  <c r="I64" i="70"/>
  <c r="G64" i="70"/>
  <c r="K63" i="70"/>
  <c r="I63" i="70"/>
  <c r="G63" i="70"/>
  <c r="K62" i="70"/>
  <c r="I62" i="70"/>
  <c r="G62" i="70"/>
  <c r="K61" i="70"/>
  <c r="I61" i="70"/>
  <c r="G61" i="70"/>
  <c r="K60" i="70"/>
  <c r="I60" i="70"/>
  <c r="G60" i="70"/>
  <c r="K59" i="70"/>
  <c r="I59" i="70"/>
  <c r="G59" i="70"/>
  <c r="K58" i="70"/>
  <c r="I58" i="70"/>
  <c r="G58" i="70"/>
  <c r="K57" i="70"/>
  <c r="I57" i="70"/>
  <c r="G57" i="70"/>
  <c r="X55" i="70"/>
  <c r="W55" i="70"/>
  <c r="V55" i="70"/>
  <c r="V263" i="70" s="1"/>
  <c r="U55" i="70"/>
  <c r="U263" i="70" s="1"/>
  <c r="T55" i="70"/>
  <c r="S55" i="70"/>
  <c r="S263" i="70" s="1"/>
  <c r="R55" i="70"/>
  <c r="Q55" i="70"/>
  <c r="P55" i="70"/>
  <c r="O55" i="70"/>
  <c r="N55" i="70"/>
  <c r="N263" i="70" s="1"/>
  <c r="M55" i="70"/>
  <c r="M263" i="70" s="1"/>
  <c r="L55" i="70"/>
  <c r="J55" i="70"/>
  <c r="H55" i="70"/>
  <c r="F55" i="70"/>
  <c r="E55" i="70"/>
  <c r="D55" i="70"/>
  <c r="K54" i="70"/>
  <c r="I54" i="70"/>
  <c r="G54" i="70"/>
  <c r="K53" i="70"/>
  <c r="I53" i="70"/>
  <c r="G53" i="70"/>
  <c r="K52" i="70"/>
  <c r="I52" i="70"/>
  <c r="G52" i="70"/>
  <c r="K50" i="70"/>
  <c r="I50" i="70"/>
  <c r="G50" i="70"/>
  <c r="K49" i="70"/>
  <c r="I49" i="70"/>
  <c r="G49" i="70"/>
  <c r="K48" i="70"/>
  <c r="I48" i="70"/>
  <c r="G48" i="70"/>
  <c r="K47" i="70"/>
  <c r="I47" i="70"/>
  <c r="G47" i="70"/>
  <c r="K46" i="70"/>
  <c r="I46" i="70"/>
  <c r="G46" i="70"/>
  <c r="K45" i="70"/>
  <c r="I45" i="70"/>
  <c r="G45" i="70"/>
  <c r="K43" i="70"/>
  <c r="I43" i="70"/>
  <c r="G43" i="70"/>
  <c r="K42" i="70"/>
  <c r="I42" i="70"/>
  <c r="G42" i="70"/>
  <c r="K41" i="70"/>
  <c r="I41" i="70"/>
  <c r="G41" i="70"/>
  <c r="K40" i="70"/>
  <c r="I40" i="70"/>
  <c r="G40" i="70"/>
  <c r="K37" i="70"/>
  <c r="I37" i="70"/>
  <c r="G37" i="70"/>
  <c r="K36" i="70"/>
  <c r="I36" i="70"/>
  <c r="G36" i="70"/>
  <c r="K35" i="70"/>
  <c r="I35" i="70"/>
  <c r="G35" i="70"/>
  <c r="K34" i="70"/>
  <c r="I34" i="70"/>
  <c r="G34" i="70"/>
  <c r="K33" i="70"/>
  <c r="I33" i="70"/>
  <c r="G33" i="70"/>
  <c r="K32" i="70"/>
  <c r="I32" i="70"/>
  <c r="G32" i="70"/>
  <c r="X28" i="70"/>
  <c r="W28" i="70"/>
  <c r="V28" i="70"/>
  <c r="U28" i="70"/>
  <c r="T28" i="70"/>
  <c r="S28" i="70"/>
  <c r="R28" i="70"/>
  <c r="Q28" i="70"/>
  <c r="P28" i="70"/>
  <c r="O28" i="70"/>
  <c r="N28" i="70"/>
  <c r="M28" i="70"/>
  <c r="L28" i="70"/>
  <c r="J28" i="70"/>
  <c r="H28" i="70"/>
  <c r="F28" i="70"/>
  <c r="E28" i="70"/>
  <c r="D28" i="70"/>
  <c r="K27" i="70"/>
  <c r="I27" i="70"/>
  <c r="I28" i="70" s="1"/>
  <c r="G27" i="70"/>
  <c r="K26" i="70"/>
  <c r="K25" i="70"/>
  <c r="M62" i="1" s="1"/>
  <c r="M61" i="1" s="1"/>
  <c r="M60" i="1" s="1"/>
  <c r="M74" i="1" s="1"/>
  <c r="M281" i="1" s="1"/>
  <c r="G25" i="70"/>
  <c r="K24" i="70"/>
  <c r="I24" i="70"/>
  <c r="G24" i="70"/>
  <c r="G28" i="70" s="1"/>
  <c r="X23" i="70"/>
  <c r="X30" i="70" s="1"/>
  <c r="X264" i="70" s="1"/>
  <c r="W23" i="70"/>
  <c r="V23" i="70"/>
  <c r="V30" i="70" s="1"/>
  <c r="V264" i="70" s="1"/>
  <c r="U23" i="70"/>
  <c r="U30" i="70" s="1"/>
  <c r="U264" i="70" s="1"/>
  <c r="U266" i="70" s="1"/>
  <c r="U277" i="70" s="1"/>
  <c r="U281" i="70" s="1"/>
  <c r="T23" i="70"/>
  <c r="S23" i="70"/>
  <c r="R23" i="70"/>
  <c r="Q23" i="70"/>
  <c r="P23" i="70"/>
  <c r="P30" i="70" s="1"/>
  <c r="P264" i="70" s="1"/>
  <c r="O23" i="70"/>
  <c r="O30" i="70" s="1"/>
  <c r="O264" i="70" s="1"/>
  <c r="N23" i="70"/>
  <c r="N30" i="70" s="1"/>
  <c r="N264" i="70" s="1"/>
  <c r="M23" i="70"/>
  <c r="M30" i="70" s="1"/>
  <c r="M264" i="70" s="1"/>
  <c r="L23" i="70"/>
  <c r="J23" i="70"/>
  <c r="H23" i="70"/>
  <c r="F23" i="70"/>
  <c r="E23" i="70"/>
  <c r="E30" i="70" s="1"/>
  <c r="E264" i="70" s="1"/>
  <c r="D23" i="70"/>
  <c r="K22" i="70"/>
  <c r="I22" i="70"/>
  <c r="G22" i="70"/>
  <c r="K21" i="70"/>
  <c r="I21" i="70"/>
  <c r="G21" i="70"/>
  <c r="K20" i="70"/>
  <c r="I20" i="70"/>
  <c r="G20" i="70"/>
  <c r="K19" i="70"/>
  <c r="I19" i="70"/>
  <c r="G19" i="70"/>
  <c r="K18" i="70"/>
  <c r="I18" i="70"/>
  <c r="G18" i="70"/>
  <c r="K17" i="70"/>
  <c r="I17" i="70"/>
  <c r="G17" i="70"/>
  <c r="K16" i="70"/>
  <c r="I16" i="70"/>
  <c r="G16" i="70"/>
  <c r="K15" i="70"/>
  <c r="I15" i="70"/>
  <c r="G15" i="70"/>
  <c r="K14" i="70"/>
  <c r="I14" i="70"/>
  <c r="G14" i="70"/>
  <c r="K13" i="70"/>
  <c r="I13" i="70"/>
  <c r="G13" i="70"/>
  <c r="K12" i="70"/>
  <c r="I12" i="70"/>
  <c r="G12" i="70"/>
  <c r="K10" i="70"/>
  <c r="I10" i="70"/>
  <c r="G10" i="70"/>
  <c r="K9" i="70"/>
  <c r="I9" i="70"/>
  <c r="G9" i="70"/>
  <c r="K8" i="70"/>
  <c r="I8" i="70"/>
  <c r="G8" i="70"/>
  <c r="K7" i="70"/>
  <c r="I7" i="70"/>
  <c r="G7" i="70"/>
  <c r="L70" i="1"/>
  <c r="L66" i="1"/>
  <c r="L61" i="1"/>
  <c r="L51" i="1"/>
  <c r="L44" i="1"/>
  <c r="M282" i="1" l="1"/>
  <c r="M297" i="1" s="1"/>
  <c r="M302" i="1" s="1"/>
  <c r="J263" i="70"/>
  <c r="W30" i="70"/>
  <c r="W264" i="70" s="1"/>
  <c r="I257" i="70"/>
  <c r="M266" i="70"/>
  <c r="M277" i="70" s="1"/>
  <c r="M281" i="70" s="1"/>
  <c r="K261" i="70"/>
  <c r="K257" i="70"/>
  <c r="D30" i="70"/>
  <c r="D264" i="70" s="1"/>
  <c r="I55" i="70"/>
  <c r="L30" i="70"/>
  <c r="L264" i="70" s="1"/>
  <c r="T30" i="70"/>
  <c r="T264" i="70" s="1"/>
  <c r="T266" i="70" s="1"/>
  <c r="T277" i="70" s="1"/>
  <c r="T281" i="70" s="1"/>
  <c r="K180" i="70"/>
  <c r="I254" i="70"/>
  <c r="K254" i="70"/>
  <c r="K23" i="70"/>
  <c r="G55" i="70"/>
  <c r="G263" i="70" s="1"/>
  <c r="G266" i="70" s="1"/>
  <c r="T263" i="70"/>
  <c r="G254" i="70"/>
  <c r="Q30" i="70"/>
  <c r="Q264" i="70" s="1"/>
  <c r="Q266" i="70" s="1"/>
  <c r="Q277" i="70" s="1"/>
  <c r="Q281" i="70" s="1"/>
  <c r="K55" i="70"/>
  <c r="E263" i="70"/>
  <c r="E266" i="70" s="1"/>
  <c r="E277" i="70" s="1"/>
  <c r="E281" i="70" s="1"/>
  <c r="P263" i="70"/>
  <c r="P266" i="70" s="1"/>
  <c r="P277" i="70" s="1"/>
  <c r="P281" i="70" s="1"/>
  <c r="X263" i="70"/>
  <c r="X266" i="70" s="1"/>
  <c r="X277" i="70" s="1"/>
  <c r="X281" i="70" s="1"/>
  <c r="W263" i="70"/>
  <c r="W266" i="70" s="1"/>
  <c r="W277" i="70" s="1"/>
  <c r="W281" i="70" s="1"/>
  <c r="G23" i="70"/>
  <c r="G30" i="70" s="1"/>
  <c r="G264" i="70" s="1"/>
  <c r="R30" i="70"/>
  <c r="R264" i="70" s="1"/>
  <c r="Q263" i="70"/>
  <c r="G180" i="70"/>
  <c r="I261" i="70"/>
  <c r="O263" i="70"/>
  <c r="O266" i="70" s="1"/>
  <c r="O277" i="70" s="1"/>
  <c r="O281" i="70" s="1"/>
  <c r="F30" i="70"/>
  <c r="F264" i="70" s="1"/>
  <c r="H30" i="70"/>
  <c r="H264" i="70" s="1"/>
  <c r="H266" i="70" s="1"/>
  <c r="H277" i="70" s="1"/>
  <c r="H281" i="70" s="1"/>
  <c r="F263" i="70"/>
  <c r="I23" i="70"/>
  <c r="I30" i="70" s="1"/>
  <c r="I264" i="70" s="1"/>
  <c r="J30" i="70"/>
  <c r="J264" i="70" s="1"/>
  <c r="J266" i="70" s="1"/>
  <c r="J277" i="70" s="1"/>
  <c r="J281" i="70" s="1"/>
  <c r="S30" i="70"/>
  <c r="S264" i="70" s="1"/>
  <c r="S266" i="70" s="1"/>
  <c r="S277" i="70" s="1"/>
  <c r="S281" i="70" s="1"/>
  <c r="K28" i="70"/>
  <c r="H263" i="70"/>
  <c r="R263" i="70"/>
  <c r="I180" i="70"/>
  <c r="D263" i="70"/>
  <c r="L263" i="70"/>
  <c r="L36" i="1"/>
  <c r="L60" i="1"/>
  <c r="K30" i="70"/>
  <c r="K264" i="70" s="1"/>
  <c r="N266" i="70"/>
  <c r="N277" i="70" s="1"/>
  <c r="N281" i="70" s="1"/>
  <c r="V266" i="70"/>
  <c r="V277" i="70" s="1"/>
  <c r="V281" i="70" s="1"/>
  <c r="F266" i="70" l="1"/>
  <c r="F277" i="70" s="1"/>
  <c r="F281" i="70" s="1"/>
  <c r="F270" i="70" s="1"/>
  <c r="F274" i="70" s="1"/>
  <c r="F286" i="70" s="1"/>
  <c r="F289" i="70" s="1"/>
  <c r="F293" i="70" s="1"/>
  <c r="L266" i="70"/>
  <c r="L277" i="70" s="1"/>
  <c r="L281" i="70" s="1"/>
  <c r="D266" i="70"/>
  <c r="D277" i="70" s="1"/>
  <c r="D281" i="70" s="1"/>
  <c r="D270" i="70" s="1"/>
  <c r="D274" i="70" s="1"/>
  <c r="D286" i="70" s="1"/>
  <c r="D289" i="70" s="1"/>
  <c r="D293" i="70" s="1"/>
  <c r="I263" i="70"/>
  <c r="I266" i="70" s="1"/>
  <c r="R266" i="70"/>
  <c r="R277" i="70" s="1"/>
  <c r="R281" i="70" s="1"/>
  <c r="K263" i="70"/>
  <c r="K266" i="70"/>
  <c r="L74" i="1"/>
  <c r="L281" i="1" s="1"/>
  <c r="L282" i="1" s="1"/>
  <c r="L297" i="1" s="1"/>
  <c r="L302" i="1" s="1"/>
  <c r="I150" i="1"/>
  <c r="I293" i="1" l="1"/>
  <c r="I275" i="1" l="1"/>
  <c r="I274" i="1"/>
  <c r="I270" i="1"/>
  <c r="I269" i="1"/>
  <c r="I265" i="1"/>
  <c r="I261" i="1"/>
  <c r="I251" i="1"/>
  <c r="I235" i="1"/>
  <c r="I228" i="1" s="1"/>
  <c r="I220" i="1"/>
  <c r="I219" i="1"/>
  <c r="I218" i="1"/>
  <c r="I217" i="1"/>
  <c r="I216" i="1"/>
  <c r="I215" i="1"/>
  <c r="I213" i="1"/>
  <c r="I212" i="1"/>
  <c r="I211" i="1"/>
  <c r="I210" i="1"/>
  <c r="I209" i="1"/>
  <c r="I207" i="1"/>
  <c r="I206" i="1"/>
  <c r="I205" i="1"/>
  <c r="I204" i="1"/>
  <c r="I203" i="1"/>
  <c r="I196" i="1"/>
  <c r="I190" i="1"/>
  <c r="I189" i="1"/>
  <c r="I188" i="1"/>
  <c r="I187" i="1"/>
  <c r="I186" i="1"/>
  <c r="I185" i="1"/>
  <c r="I174" i="1"/>
  <c r="I168" i="1"/>
  <c r="I165" i="1"/>
  <c r="I164" i="1"/>
  <c r="I163" i="1"/>
  <c r="I162" i="1"/>
  <c r="I161" i="1"/>
  <c r="I153" i="1"/>
  <c r="I152" i="1"/>
  <c r="I151" i="1"/>
  <c r="I149" i="1"/>
  <c r="I141" i="1"/>
  <c r="I140" i="1"/>
  <c r="I139" i="1"/>
  <c r="I138" i="1"/>
  <c r="I137" i="1"/>
  <c r="I127" i="1"/>
  <c r="I117" i="1"/>
  <c r="I109" i="1"/>
  <c r="I102" i="1"/>
  <c r="I96" i="1"/>
  <c r="I89" i="1"/>
  <c r="I87" i="1"/>
  <c r="I93" i="1"/>
  <c r="I92" i="1"/>
  <c r="I91" i="1"/>
  <c r="I90" i="1"/>
  <c r="I82" i="1"/>
  <c r="I79" i="1" s="1"/>
  <c r="I86" i="1" l="1"/>
  <c r="I184" i="1"/>
  <c r="I250" i="1"/>
  <c r="I208" i="1"/>
  <c r="I148" i="1"/>
  <c r="I144" i="1" s="1"/>
  <c r="I88" i="1"/>
  <c r="I136" i="1"/>
  <c r="I132" i="1" s="1"/>
  <c r="I214" i="1"/>
  <c r="I202" i="1"/>
  <c r="I160" i="1"/>
  <c r="I156" i="1" s="1"/>
  <c r="I78" i="1" l="1"/>
  <c r="I183" i="1"/>
  <c r="I61" i="1"/>
  <c r="J8" i="66"/>
  <c r="I42" i="1" s="1"/>
  <c r="J23" i="66"/>
  <c r="J23" i="65"/>
  <c r="J8" i="65"/>
  <c r="J23" i="64"/>
  <c r="J8" i="64"/>
  <c r="J8" i="63"/>
  <c r="I39" i="1" s="1"/>
  <c r="J23" i="63"/>
  <c r="I41" i="1" l="1"/>
  <c r="J25" i="65"/>
  <c r="I40" i="1"/>
  <c r="J8" i="69"/>
  <c r="I38" i="1" s="1"/>
  <c r="I37" i="1" s="1"/>
  <c r="J23" i="69"/>
  <c r="R42" i="66"/>
  <c r="R43" i="66"/>
  <c r="R44" i="66"/>
  <c r="R45" i="66"/>
  <c r="Y33" i="67"/>
  <c r="W198" i="67"/>
  <c r="W175" i="67"/>
  <c r="U164" i="67"/>
  <c r="X154" i="67"/>
  <c r="Y129" i="67"/>
  <c r="Y106" i="67"/>
  <c r="Y105" i="67"/>
  <c r="X95" i="67"/>
  <c r="V75" i="67"/>
  <c r="U75" i="67"/>
  <c r="W57" i="67"/>
  <c r="W56" i="67"/>
  <c r="W49" i="67"/>
  <c r="V40" i="67"/>
  <c r="V36" i="67"/>
  <c r="U36" i="67"/>
  <c r="W36" i="67" s="1"/>
  <c r="V33" i="67"/>
  <c r="U33" i="67"/>
  <c r="W33" i="67" l="1"/>
  <c r="W75" i="67"/>
  <c r="T261" i="67"/>
  <c r="T257" i="67"/>
  <c r="T254" i="67"/>
  <c r="T180" i="67"/>
  <c r="T55" i="67"/>
  <c r="T28" i="67"/>
  <c r="T23" i="67"/>
  <c r="T263" i="67" l="1"/>
  <c r="T30" i="67"/>
  <c r="T264" i="67" s="1"/>
  <c r="T266" i="67"/>
  <c r="G19" i="4"/>
  <c r="R74" i="66"/>
  <c r="R75" i="66"/>
  <c r="R76" i="66"/>
  <c r="R77" i="66"/>
  <c r="R78" i="66"/>
  <c r="R79" i="66"/>
  <c r="AF54" i="65"/>
  <c r="AF55" i="65"/>
  <c r="AF57" i="65"/>
  <c r="AF58" i="65"/>
  <c r="AF59" i="65"/>
  <c r="AF60" i="65"/>
  <c r="AF61" i="65"/>
  <c r="AF62" i="65"/>
  <c r="AF63" i="65"/>
  <c r="AF64" i="65"/>
  <c r="AF65" i="65"/>
  <c r="AF56" i="65"/>
  <c r="AF53" i="66"/>
  <c r="AF54" i="66"/>
  <c r="AF56" i="66"/>
  <c r="AF57" i="66"/>
  <c r="AF58" i="66"/>
  <c r="AF59" i="66"/>
  <c r="AF60" i="66"/>
  <c r="AF61" i="66"/>
  <c r="AF62" i="66"/>
  <c r="AF63" i="66"/>
  <c r="AF64" i="66"/>
  <c r="AF55" i="66"/>
  <c r="AE65" i="66"/>
  <c r="H16" i="66" s="1"/>
  <c r="R88" i="63"/>
  <c r="R89" i="63"/>
  <c r="R90" i="63"/>
  <c r="R91" i="63"/>
  <c r="R92" i="63"/>
  <c r="AF64" i="63"/>
  <c r="AF65" i="63"/>
  <c r="AF67" i="63"/>
  <c r="AF68" i="63"/>
  <c r="AF69" i="63"/>
  <c r="AF70" i="63"/>
  <c r="AF71" i="63"/>
  <c r="AF72" i="63"/>
  <c r="AF73" i="63"/>
  <c r="AF74" i="63"/>
  <c r="AF75" i="63"/>
  <c r="AF66" i="63"/>
  <c r="AE76" i="63" l="1"/>
  <c r="H16" i="63" s="1"/>
  <c r="AC37" i="65"/>
  <c r="AE66" i="65"/>
  <c r="H16" i="65" s="1"/>
  <c r="AE62" i="64"/>
  <c r="H16" i="64" s="1"/>
  <c r="V75" i="64"/>
  <c r="V73" i="64"/>
  <c r="V72" i="64"/>
  <c r="V70" i="64"/>
  <c r="V69" i="64"/>
  <c r="AC42" i="64"/>
  <c r="AC36" i="64"/>
  <c r="X41" i="64"/>
  <c r="W41" i="64"/>
  <c r="X40" i="64"/>
  <c r="W40" i="64"/>
  <c r="AC40" i="64" s="1"/>
  <c r="X39" i="64"/>
  <c r="W39" i="64"/>
  <c r="X38" i="64"/>
  <c r="W38" i="64"/>
  <c r="AB37" i="64"/>
  <c r="X37" i="64"/>
  <c r="W37" i="64"/>
  <c r="AC38" i="64" l="1"/>
  <c r="AC37" i="64"/>
  <c r="AC39" i="64"/>
  <c r="AC41" i="64"/>
  <c r="T84" i="69" l="1"/>
  <c r="L84" i="69"/>
  <c r="L83" i="69"/>
  <c r="T82" i="69"/>
  <c r="L82" i="69"/>
  <c r="L81" i="69"/>
  <c r="T80" i="69"/>
  <c r="L80" i="69"/>
  <c r="T79" i="69"/>
  <c r="L79" i="69"/>
  <c r="T78" i="69"/>
  <c r="L78" i="69"/>
  <c r="L77" i="69"/>
  <c r="L76" i="69"/>
  <c r="T75" i="69"/>
  <c r="L75" i="69"/>
  <c r="T74" i="69"/>
  <c r="L74" i="69"/>
  <c r="T73" i="69"/>
  <c r="L73" i="69"/>
  <c r="T72" i="69"/>
  <c r="L72" i="69"/>
  <c r="T71" i="69"/>
  <c r="L71" i="69"/>
  <c r="T70" i="69"/>
  <c r="L70" i="69"/>
  <c r="T69" i="69"/>
  <c r="L69" i="69"/>
  <c r="T68" i="69"/>
  <c r="L68" i="69"/>
  <c r="AE62" i="69"/>
  <c r="H16" i="69" s="1"/>
  <c r="AD62" i="69"/>
  <c r="H22" i="69" s="1"/>
  <c r="AC62" i="69"/>
  <c r="H21" i="69" s="1"/>
  <c r="AB62" i="69"/>
  <c r="F20" i="69" s="1"/>
  <c r="F23" i="69" s="1"/>
  <c r="F25" i="69" s="1"/>
  <c r="AA62" i="69"/>
  <c r="Z62" i="69"/>
  <c r="Y62" i="69"/>
  <c r="S83" i="69" s="1"/>
  <c r="S85" i="69" s="1"/>
  <c r="H14" i="69" s="1"/>
  <c r="X62" i="69"/>
  <c r="R83" i="69" s="1"/>
  <c r="R85" i="69" s="1"/>
  <c r="H13" i="69" s="1"/>
  <c r="W62" i="69"/>
  <c r="Q83" i="69" s="1"/>
  <c r="Q85" i="69" s="1"/>
  <c r="H12" i="69" s="1"/>
  <c r="V62" i="69"/>
  <c r="P83" i="69" s="1"/>
  <c r="U62" i="69"/>
  <c r="T62" i="69"/>
  <c r="AF61" i="69"/>
  <c r="AF60" i="69"/>
  <c r="AF59" i="69"/>
  <c r="AF58" i="69"/>
  <c r="AF57" i="69"/>
  <c r="AF56" i="69"/>
  <c r="AF55" i="69"/>
  <c r="AF54" i="69"/>
  <c r="AF53" i="69"/>
  <c r="AF52" i="69"/>
  <c r="AF51" i="69"/>
  <c r="Y45" i="69"/>
  <c r="X45" i="69"/>
  <c r="V45" i="69"/>
  <c r="H17" i="69" s="1"/>
  <c r="T45" i="69"/>
  <c r="H15" i="69" s="1"/>
  <c r="S45" i="69"/>
  <c r="H7" i="69" s="1"/>
  <c r="R45" i="69"/>
  <c r="Q45" i="69"/>
  <c r="H5" i="69" s="1"/>
  <c r="Z44" i="69"/>
  <c r="Z43" i="69"/>
  <c r="Z42" i="69"/>
  <c r="Z41" i="69"/>
  <c r="Z40" i="69"/>
  <c r="Z39" i="69"/>
  <c r="Z38" i="69"/>
  <c r="W37" i="69"/>
  <c r="W45" i="69" s="1"/>
  <c r="U37" i="69"/>
  <c r="Z36" i="69"/>
  <c r="G23" i="69"/>
  <c r="I17" i="69"/>
  <c r="H197" i="1" s="1"/>
  <c r="I16" i="69"/>
  <c r="H191" i="1" s="1"/>
  <c r="I15" i="69"/>
  <c r="H185" i="1" s="1"/>
  <c r="I10" i="69"/>
  <c r="H10" i="69"/>
  <c r="I8" i="69"/>
  <c r="G8" i="69"/>
  <c r="R36" i="65"/>
  <c r="R37" i="65"/>
  <c r="R44" i="65"/>
  <c r="AC44" i="65"/>
  <c r="R37" i="64"/>
  <c r="R38" i="64"/>
  <c r="R39" i="64"/>
  <c r="R40" i="64"/>
  <c r="R41" i="64"/>
  <c r="R42" i="64"/>
  <c r="G9" i="1"/>
  <c r="G8" i="1"/>
  <c r="H6" i="69" l="1"/>
  <c r="H8" i="69" s="1"/>
  <c r="Z37" i="69"/>
  <c r="G7" i="1"/>
  <c r="H20" i="69"/>
  <c r="I23" i="69"/>
  <c r="I25" i="69" s="1"/>
  <c r="H19" i="69"/>
  <c r="H18" i="69"/>
  <c r="U45" i="69"/>
  <c r="Z45" i="69"/>
  <c r="AF62" i="69"/>
  <c r="P85" i="69"/>
  <c r="H11" i="69" s="1"/>
  <c r="H23" i="69" s="1"/>
  <c r="T83" i="69"/>
  <c r="T85" i="69" s="1"/>
  <c r="H25" i="69" l="1"/>
  <c r="H274" i="1"/>
  <c r="H269" i="1"/>
  <c r="G274" i="1"/>
  <c r="G261" i="1"/>
  <c r="I245" i="1" l="1"/>
  <c r="I244" i="1"/>
  <c r="I241" i="1"/>
  <c r="I239" i="1"/>
  <c r="F254" i="67"/>
  <c r="F180" i="67"/>
  <c r="F55" i="67"/>
  <c r="G2" i="2"/>
  <c r="G291" i="67"/>
  <c r="F291" i="67"/>
  <c r="D291" i="67"/>
  <c r="C291" i="67"/>
  <c r="G288" i="67"/>
  <c r="G289" i="67" s="1"/>
  <c r="F288" i="67"/>
  <c r="D288" i="67"/>
  <c r="C288" i="67"/>
  <c r="T274" i="67"/>
  <c r="S274" i="67"/>
  <c r="R274" i="67"/>
  <c r="Q274" i="67"/>
  <c r="P274" i="67"/>
  <c r="O274" i="67"/>
  <c r="N274" i="67"/>
  <c r="M274" i="67"/>
  <c r="L274" i="67"/>
  <c r="K274" i="67"/>
  <c r="J274" i="67"/>
  <c r="I274" i="67"/>
  <c r="H274" i="67"/>
  <c r="G274" i="67"/>
  <c r="E274" i="67"/>
  <c r="S261" i="67"/>
  <c r="R261" i="67"/>
  <c r="Q261" i="67"/>
  <c r="P261" i="67"/>
  <c r="O261" i="67"/>
  <c r="N261" i="67"/>
  <c r="M261" i="67"/>
  <c r="L261" i="67"/>
  <c r="K261" i="67"/>
  <c r="J261" i="67"/>
  <c r="I261" i="67"/>
  <c r="H261" i="67"/>
  <c r="G261" i="67"/>
  <c r="F261" i="67"/>
  <c r="E261" i="67"/>
  <c r="D261" i="67"/>
  <c r="C261" i="67"/>
  <c r="S257" i="67"/>
  <c r="R257" i="67"/>
  <c r="Q257" i="67"/>
  <c r="P257" i="67"/>
  <c r="O257" i="67"/>
  <c r="N257" i="67"/>
  <c r="M257" i="67"/>
  <c r="L257" i="67"/>
  <c r="K257" i="67"/>
  <c r="J257" i="67"/>
  <c r="I257" i="67"/>
  <c r="H257" i="67"/>
  <c r="G257" i="67"/>
  <c r="F257" i="67"/>
  <c r="E257" i="67"/>
  <c r="D257" i="67"/>
  <c r="C257" i="67"/>
  <c r="S254" i="67"/>
  <c r="R254" i="67"/>
  <c r="Q254" i="67"/>
  <c r="P254" i="67"/>
  <c r="O254" i="67"/>
  <c r="N254" i="67"/>
  <c r="M254" i="67"/>
  <c r="L254" i="67"/>
  <c r="K254" i="67"/>
  <c r="J254" i="67"/>
  <c r="I254" i="67"/>
  <c r="H254" i="67"/>
  <c r="G254" i="67"/>
  <c r="E254" i="67"/>
  <c r="D254" i="67"/>
  <c r="C254" i="67"/>
  <c r="S180" i="67"/>
  <c r="R180" i="67"/>
  <c r="Q180" i="67"/>
  <c r="P180" i="67"/>
  <c r="O180" i="67"/>
  <c r="N180" i="67"/>
  <c r="M180" i="67"/>
  <c r="L180" i="67"/>
  <c r="K180" i="67"/>
  <c r="J180" i="67"/>
  <c r="I180" i="67"/>
  <c r="H180" i="67"/>
  <c r="G180" i="67"/>
  <c r="E180" i="67"/>
  <c r="D180" i="67"/>
  <c r="C180" i="67"/>
  <c r="S55" i="67"/>
  <c r="R55" i="67"/>
  <c r="Q55" i="67"/>
  <c r="P55" i="67"/>
  <c r="O55" i="67"/>
  <c r="N55" i="67"/>
  <c r="M55" i="67"/>
  <c r="L55" i="67"/>
  <c r="K55" i="67"/>
  <c r="J55" i="67"/>
  <c r="I55" i="67"/>
  <c r="H55" i="67"/>
  <c r="G55" i="67"/>
  <c r="E55" i="67"/>
  <c r="D55" i="67"/>
  <c r="C55" i="67"/>
  <c r="S28" i="67"/>
  <c r="R28" i="67"/>
  <c r="Q28" i="67"/>
  <c r="P28" i="67"/>
  <c r="O28" i="67"/>
  <c r="N28" i="67"/>
  <c r="M28" i="67"/>
  <c r="L28" i="67"/>
  <c r="K28" i="67"/>
  <c r="J28" i="67"/>
  <c r="I28" i="67"/>
  <c r="H28" i="67"/>
  <c r="G28" i="67"/>
  <c r="F28" i="67"/>
  <c r="E28" i="67"/>
  <c r="D28" i="67"/>
  <c r="C28" i="67"/>
  <c r="S23" i="67"/>
  <c r="R23" i="67"/>
  <c r="Q23" i="67"/>
  <c r="P23" i="67"/>
  <c r="O23" i="67"/>
  <c r="N23" i="67"/>
  <c r="M23" i="67"/>
  <c r="L23" i="67"/>
  <c r="K23" i="67"/>
  <c r="J23" i="67"/>
  <c r="J30" i="67" s="1"/>
  <c r="J264" i="67" s="1"/>
  <c r="I23" i="67"/>
  <c r="I30" i="67" s="1"/>
  <c r="I264" i="67" s="1"/>
  <c r="H23" i="67"/>
  <c r="H30" i="67" s="1"/>
  <c r="H264" i="67" s="1"/>
  <c r="G23" i="67"/>
  <c r="G30" i="67" s="1"/>
  <c r="G264" i="67" s="1"/>
  <c r="F23" i="67"/>
  <c r="E23" i="67"/>
  <c r="D23" i="67"/>
  <c r="C23" i="67"/>
  <c r="Q30" i="67" l="1"/>
  <c r="Q264" i="67" s="1"/>
  <c r="H263" i="67"/>
  <c r="M263" i="67"/>
  <c r="I238" i="1"/>
  <c r="I116" i="1" s="1"/>
  <c r="I280" i="1" s="1"/>
  <c r="G263" i="67"/>
  <c r="K263" i="67"/>
  <c r="E30" i="67"/>
  <c r="E264" i="67" s="1"/>
  <c r="S263" i="67"/>
  <c r="S266" i="67" s="1"/>
  <c r="S277" i="67" s="1"/>
  <c r="S281" i="67" s="1"/>
  <c r="L263" i="67"/>
  <c r="N263" i="67"/>
  <c r="F263" i="67"/>
  <c r="I263" i="67"/>
  <c r="I266" i="67" s="1"/>
  <c r="I277" i="67" s="1"/>
  <c r="I281" i="67" s="1"/>
  <c r="S30" i="67"/>
  <c r="S264" i="67" s="1"/>
  <c r="H81" i="1"/>
  <c r="M30" i="67"/>
  <c r="M264" i="67" s="1"/>
  <c r="M266" i="67" s="1"/>
  <c r="M277" i="67" s="1"/>
  <c r="M281" i="67" s="1"/>
  <c r="K30" i="67"/>
  <c r="K264" i="67" s="1"/>
  <c r="D263" i="67"/>
  <c r="P263" i="67"/>
  <c r="G293" i="67"/>
  <c r="E263" i="67"/>
  <c r="Q263" i="67"/>
  <c r="Q266" i="67" s="1"/>
  <c r="Q277" i="67" s="1"/>
  <c r="Q281" i="67" s="1"/>
  <c r="F30" i="67"/>
  <c r="F264" i="67" s="1"/>
  <c r="R30" i="67"/>
  <c r="R264" i="67" s="1"/>
  <c r="R263" i="67"/>
  <c r="H80" i="1"/>
  <c r="J263" i="67"/>
  <c r="J266" i="67" s="1"/>
  <c r="J277" i="67" s="1"/>
  <c r="J281" i="67" s="1"/>
  <c r="L30" i="67"/>
  <c r="L264" i="67" s="1"/>
  <c r="C30" i="67"/>
  <c r="C264" i="67" s="1"/>
  <c r="O30" i="67"/>
  <c r="O264" i="67" s="1"/>
  <c r="N30" i="67"/>
  <c r="N264" i="67" s="1"/>
  <c r="D30" i="67"/>
  <c r="D264" i="67" s="1"/>
  <c r="P30" i="67"/>
  <c r="P264" i="67" s="1"/>
  <c r="C263" i="67"/>
  <c r="O263" i="67"/>
  <c r="G266" i="67"/>
  <c r="G277" i="67" s="1"/>
  <c r="G281" i="67" s="1"/>
  <c r="H266" i="67"/>
  <c r="H277" i="67" s="1"/>
  <c r="H281" i="67" s="1"/>
  <c r="T277" i="67"/>
  <c r="T281" i="67" s="1"/>
  <c r="G168" i="1"/>
  <c r="N266" i="67" l="1"/>
  <c r="N277" i="67" s="1"/>
  <c r="N281" i="67" s="1"/>
  <c r="K266" i="67"/>
  <c r="K277" i="67" s="1"/>
  <c r="K281" i="67" s="1"/>
  <c r="D266" i="67"/>
  <c r="D277" i="67" s="1"/>
  <c r="D281" i="67" s="1"/>
  <c r="L266" i="67"/>
  <c r="L277" i="67" s="1"/>
  <c r="L281" i="67" s="1"/>
  <c r="E266" i="67"/>
  <c r="E277" i="67" s="1"/>
  <c r="E281" i="67" s="1"/>
  <c r="R266" i="67"/>
  <c r="R277" i="67" s="1"/>
  <c r="R281" i="67" s="1"/>
  <c r="F266" i="67"/>
  <c r="F277" i="67" s="1"/>
  <c r="F281" i="67" s="1"/>
  <c r="F270" i="67" s="1"/>
  <c r="F274" i="67" s="1"/>
  <c r="F286" i="67" s="1"/>
  <c r="F289" i="67" s="1"/>
  <c r="F293" i="67" s="1"/>
  <c r="P266" i="67"/>
  <c r="P277" i="67" s="1"/>
  <c r="P281" i="67" s="1"/>
  <c r="O266" i="67"/>
  <c r="O277" i="67" s="1"/>
  <c r="O281" i="67" s="1"/>
  <c r="C266" i="67"/>
  <c r="C277" i="67" s="1"/>
  <c r="C281" i="67" s="1"/>
  <c r="C270" i="67" s="1"/>
  <c r="C274" i="67" s="1"/>
  <c r="C286" i="67" s="1"/>
  <c r="C289" i="67" s="1"/>
  <c r="C293" i="67" s="1"/>
  <c r="D286" i="67"/>
  <c r="D289" i="67" s="1"/>
  <c r="D293" i="67" s="1"/>
  <c r="D270" i="67"/>
  <c r="D274" i="67" s="1"/>
  <c r="M110" i="2"/>
  <c r="M111" i="2"/>
  <c r="M112" i="2"/>
  <c r="M113" i="2"/>
  <c r="M109" i="2"/>
  <c r="M105" i="2"/>
  <c r="M104" i="2"/>
  <c r="M100" i="2"/>
  <c r="M99" i="2"/>
  <c r="M95" i="2"/>
  <c r="M94" i="2"/>
  <c r="M90" i="2"/>
  <c r="M63" i="2"/>
  <c r="M62" i="2"/>
  <c r="M56" i="2"/>
  <c r="M57" i="2"/>
  <c r="M58" i="2"/>
  <c r="M35" i="2"/>
  <c r="M36" i="2"/>
  <c r="M37" i="2"/>
  <c r="M38" i="2"/>
  <c r="M39" i="2"/>
  <c r="M40" i="2"/>
  <c r="M41" i="2"/>
  <c r="M42" i="2"/>
  <c r="M43" i="2"/>
  <c r="M44" i="2"/>
  <c r="M45" i="2"/>
  <c r="M46" i="2"/>
  <c r="M47" i="2"/>
  <c r="M48" i="2"/>
  <c r="M50" i="2"/>
  <c r="M26" i="2"/>
  <c r="M19" i="2"/>
  <c r="M20" i="2"/>
  <c r="M21" i="2"/>
  <c r="M22" i="2"/>
  <c r="M18" i="2"/>
  <c r="M11" i="2"/>
  <c r="M12" i="2"/>
  <c r="M13" i="2"/>
  <c r="M10" i="2"/>
  <c r="M88" i="2"/>
  <c r="M73" i="2"/>
  <c r="M72" i="2"/>
  <c r="H251" i="1" l="1"/>
  <c r="G109" i="1"/>
  <c r="AC37" i="63" l="1"/>
  <c r="AC38" i="63"/>
  <c r="AC39" i="63"/>
  <c r="AC40" i="63"/>
  <c r="AC41" i="63"/>
  <c r="AC42" i="63"/>
  <c r="AC43" i="63"/>
  <c r="AC44" i="63"/>
  <c r="AC45" i="63"/>
  <c r="AC46" i="63"/>
  <c r="AC47" i="63"/>
  <c r="AC48" i="63"/>
  <c r="AC49" i="63"/>
  <c r="AC50" i="63"/>
  <c r="AC51" i="63"/>
  <c r="AC52" i="63"/>
  <c r="AC53" i="63"/>
  <c r="AC54" i="63"/>
  <c r="AC55" i="63"/>
  <c r="AC56" i="63"/>
  <c r="AC36" i="63"/>
  <c r="Z83" i="63"/>
  <c r="Z84" i="63"/>
  <c r="Z85" i="63"/>
  <c r="Z86" i="63"/>
  <c r="Z87" i="63"/>
  <c r="Z88" i="63"/>
  <c r="Z89" i="63"/>
  <c r="Z90" i="63"/>
  <c r="AC37" i="66" l="1"/>
  <c r="AC38" i="66"/>
  <c r="AC39" i="66"/>
  <c r="AC40" i="66"/>
  <c r="AC41" i="66"/>
  <c r="AC42" i="66"/>
  <c r="AC43" i="66"/>
  <c r="AC44" i="66"/>
  <c r="AC45" i="66"/>
  <c r="AC36" i="66"/>
  <c r="R45" i="65" l="1"/>
  <c r="R46" i="65"/>
  <c r="AC39" i="65"/>
  <c r="AC40" i="65"/>
  <c r="AC41" i="65"/>
  <c r="AC42" i="65"/>
  <c r="AC43" i="65"/>
  <c r="AC45" i="65"/>
  <c r="AC46" i="65"/>
  <c r="AC38" i="65"/>
  <c r="Z76" i="65"/>
  <c r="Z77" i="65"/>
  <c r="H309" i="1"/>
  <c r="H307" i="1"/>
  <c r="H308" i="1" s="1"/>
  <c r="H293" i="1"/>
  <c r="H302" i="1"/>
  <c r="H310" i="1" l="1"/>
  <c r="G238" i="1" l="1"/>
  <c r="H238" i="1"/>
  <c r="Z72" i="64"/>
  <c r="Z73" i="64"/>
  <c r="Z74" i="64"/>
  <c r="Z75" i="64"/>
  <c r="R71" i="63" l="1"/>
  <c r="R72" i="63"/>
  <c r="R73" i="63"/>
  <c r="R74" i="63"/>
  <c r="R75" i="63"/>
  <c r="R46" i="63"/>
  <c r="R47" i="63"/>
  <c r="R48" i="63"/>
  <c r="R49" i="63"/>
  <c r="R50" i="63"/>
  <c r="R51" i="63"/>
  <c r="R52" i="63"/>
  <c r="R53" i="63"/>
  <c r="R54" i="63"/>
  <c r="R55" i="63"/>
  <c r="R56" i="63"/>
  <c r="D14" i="49" l="1"/>
  <c r="K2" i="2"/>
  <c r="I2" i="2"/>
  <c r="E2" i="2"/>
  <c r="C2" i="2"/>
  <c r="B2" i="2"/>
  <c r="F2" i="2"/>
  <c r="D2" i="2"/>
  <c r="H2" i="2"/>
  <c r="D27" i="49" l="1"/>
  <c r="H20" i="49"/>
  <c r="I17" i="65" l="1"/>
  <c r="I15" i="65"/>
  <c r="I16" i="65"/>
  <c r="M55" i="2" l="1"/>
  <c r="B236" i="1"/>
  <c r="L114" i="2" l="1"/>
  <c r="L106" i="2"/>
  <c r="L101" i="2"/>
  <c r="L96" i="2"/>
  <c r="L91" i="2"/>
  <c r="L74" i="2"/>
  <c r="L69" i="2"/>
  <c r="L64" i="2"/>
  <c r="L59" i="2"/>
  <c r="L51" i="2"/>
  <c r="M51" i="2" s="1"/>
  <c r="L23" i="2"/>
  <c r="L15" i="2"/>
  <c r="H141" i="1"/>
  <c r="L118" i="2" l="1"/>
  <c r="L4" i="2" s="1"/>
  <c r="H168" i="1"/>
  <c r="H109" i="1"/>
  <c r="G100" i="1"/>
  <c r="G99" i="1"/>
  <c r="G98" i="1"/>
  <c r="G97" i="1"/>
  <c r="G105" i="1"/>
  <c r="G104" i="1"/>
  <c r="G103" i="1"/>
  <c r="G84" i="1"/>
  <c r="H84" i="1"/>
  <c r="H79" i="1" s="1"/>
  <c r="H7" i="49"/>
  <c r="H5" i="49"/>
  <c r="H4" i="49"/>
  <c r="R2" i="2"/>
  <c r="Q2" i="2"/>
  <c r="P2" i="2"/>
  <c r="O2" i="2"/>
  <c r="N2" i="2"/>
  <c r="J2" i="2"/>
  <c r="D23" i="62"/>
  <c r="I37" i="4"/>
  <c r="G37" i="4"/>
  <c r="G267" i="1" s="1"/>
  <c r="G265" i="1" s="1"/>
  <c r="I28" i="4"/>
  <c r="G28" i="4"/>
  <c r="G130" i="1" s="1"/>
  <c r="I19" i="4"/>
  <c r="G129" i="1"/>
  <c r="I10" i="4"/>
  <c r="G10" i="4"/>
  <c r="G128" i="1" s="1"/>
  <c r="G93" i="1"/>
  <c r="G92" i="1"/>
  <c r="G91" i="1"/>
  <c r="G90" i="1"/>
  <c r="G153" i="1"/>
  <c r="G148" i="1" s="1"/>
  <c r="G152" i="1"/>
  <c r="G151" i="1"/>
  <c r="G150" i="1"/>
  <c r="E220" i="1"/>
  <c r="E214" i="1"/>
  <c r="E208" i="1"/>
  <c r="E202" i="1"/>
  <c r="E196" i="1"/>
  <c r="E190" i="1"/>
  <c r="E184" i="1"/>
  <c r="G23" i="66"/>
  <c r="G8" i="66"/>
  <c r="H10" i="66"/>
  <c r="G8" i="65"/>
  <c r="G23" i="65"/>
  <c r="H10" i="65"/>
  <c r="G8" i="63"/>
  <c r="G8" i="64"/>
  <c r="G23" i="64"/>
  <c r="H10" i="64"/>
  <c r="G23" i="63"/>
  <c r="H10" i="63"/>
  <c r="G61" i="1"/>
  <c r="G66" i="1"/>
  <c r="G70" i="1"/>
  <c r="G87" i="1"/>
  <c r="G269" i="1"/>
  <c r="G270" i="1"/>
  <c r="G275" i="1"/>
  <c r="B39" i="1"/>
  <c r="B40" i="1"/>
  <c r="B41" i="1"/>
  <c r="B42" i="1"/>
  <c r="B43" i="1"/>
  <c r="B44" i="1"/>
  <c r="B45" i="1"/>
  <c r="B46" i="1"/>
  <c r="B47" i="1"/>
  <c r="B48" i="1"/>
  <c r="B49" i="1"/>
  <c r="B50" i="1"/>
  <c r="B51" i="1"/>
  <c r="B52" i="1"/>
  <c r="B53" i="1"/>
  <c r="B54" i="1"/>
  <c r="B55" i="1"/>
  <c r="B56" i="1"/>
  <c r="B57" i="1"/>
  <c r="B58" i="1"/>
  <c r="B59" i="1"/>
  <c r="B60" i="1"/>
  <c r="B61" i="1"/>
  <c r="B62"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E183" i="1" l="1"/>
  <c r="E160" i="1"/>
  <c r="E37" i="1"/>
  <c r="E36" i="1" s="1"/>
  <c r="D34" i="62"/>
  <c r="G228" i="1" s="1"/>
  <c r="K32" i="62"/>
  <c r="K34" i="62" s="1"/>
  <c r="E231" i="1" s="1"/>
  <c r="E228" i="1" s="1"/>
  <c r="F25" i="65"/>
  <c r="G37" i="1"/>
  <c r="G127" i="1"/>
  <c r="G96" i="1"/>
  <c r="G160" i="1"/>
  <c r="I6" i="49"/>
  <c r="G80" i="1"/>
  <c r="G60" i="1"/>
  <c r="G106" i="1"/>
  <c r="G102" i="1" s="1"/>
  <c r="M2" i="2"/>
  <c r="G51" i="1"/>
  <c r="G44" i="1"/>
  <c r="G88" i="1"/>
  <c r="G86" i="1"/>
  <c r="G183" i="1" l="1"/>
  <c r="G36" i="1"/>
  <c r="N38" i="4" l="1"/>
  <c r="L38" i="4"/>
  <c r="R72" i="66"/>
  <c r="R73" i="66"/>
  <c r="R54" i="66"/>
  <c r="R55" i="66"/>
  <c r="R56" i="66"/>
  <c r="R57" i="66"/>
  <c r="R58" i="66"/>
  <c r="R59" i="66"/>
  <c r="R60" i="66"/>
  <c r="R61" i="66"/>
  <c r="R62" i="66"/>
  <c r="R63" i="66"/>
  <c r="R64" i="66"/>
  <c r="R37" i="66"/>
  <c r="R38" i="66"/>
  <c r="R39" i="66"/>
  <c r="R40" i="66"/>
  <c r="R41" i="66"/>
  <c r="R39" i="65"/>
  <c r="R40" i="65"/>
  <c r="R41" i="65"/>
  <c r="R42" i="65"/>
  <c r="R43" i="65"/>
  <c r="R55" i="65"/>
  <c r="R56" i="65"/>
  <c r="R57" i="65"/>
  <c r="R58" i="65"/>
  <c r="R59" i="65"/>
  <c r="R60" i="65"/>
  <c r="R61" i="65"/>
  <c r="R62" i="65"/>
  <c r="R63" i="65"/>
  <c r="R64" i="65"/>
  <c r="R65" i="65"/>
  <c r="R73" i="65"/>
  <c r="R74" i="65"/>
  <c r="R75" i="65"/>
  <c r="R76" i="65"/>
  <c r="R77" i="65"/>
  <c r="R78" i="65"/>
  <c r="R79" i="65"/>
  <c r="R80" i="65"/>
  <c r="R81" i="65"/>
  <c r="R82" i="65"/>
  <c r="R83" i="65"/>
  <c r="R84" i="65"/>
  <c r="R85" i="65"/>
  <c r="R86" i="65"/>
  <c r="R87" i="65"/>
  <c r="R88" i="65"/>
  <c r="R69" i="64"/>
  <c r="R70" i="64"/>
  <c r="R71" i="64"/>
  <c r="R72" i="64"/>
  <c r="R73" i="64"/>
  <c r="R74" i="64"/>
  <c r="R75" i="64"/>
  <c r="R76" i="64"/>
  <c r="R77" i="64"/>
  <c r="R78" i="64"/>
  <c r="R79" i="64"/>
  <c r="R80" i="64"/>
  <c r="R81" i="64"/>
  <c r="R82" i="64"/>
  <c r="R83" i="64"/>
  <c r="R84" i="64"/>
  <c r="R51" i="64"/>
  <c r="R52" i="64"/>
  <c r="R53" i="64"/>
  <c r="R54" i="64"/>
  <c r="R55" i="64"/>
  <c r="R56" i="64"/>
  <c r="R57" i="64"/>
  <c r="R58" i="64"/>
  <c r="R59" i="64"/>
  <c r="R60" i="64"/>
  <c r="R61" i="64"/>
  <c r="R45" i="63"/>
  <c r="I8" i="64"/>
  <c r="I10" i="64"/>
  <c r="I23" i="64" s="1"/>
  <c r="R36" i="64"/>
  <c r="T44" i="64"/>
  <c r="H5" i="64" s="1"/>
  <c r="U44" i="64"/>
  <c r="V44" i="64"/>
  <c r="W44" i="64"/>
  <c r="H15" i="64" s="1"/>
  <c r="X44" i="64"/>
  <c r="Y44" i="64"/>
  <c r="H17" i="64" s="1"/>
  <c r="Z44" i="64"/>
  <c r="AA44" i="64"/>
  <c r="AB44" i="64"/>
  <c r="R50" i="64"/>
  <c r="AF50" i="64"/>
  <c r="AF51" i="64"/>
  <c r="AF52" i="64"/>
  <c r="T62" i="64"/>
  <c r="U62" i="64"/>
  <c r="V62" i="64"/>
  <c r="V83" i="64" s="1"/>
  <c r="V85" i="64" s="1"/>
  <c r="H11" i="64" s="1"/>
  <c r="W62" i="64"/>
  <c r="W83" i="64" s="1"/>
  <c r="W85" i="64" s="1"/>
  <c r="H12" i="64" s="1"/>
  <c r="X62" i="64"/>
  <c r="X83" i="64" s="1"/>
  <c r="X85" i="64" s="1"/>
  <c r="H13" i="64" s="1"/>
  <c r="Y62" i="64"/>
  <c r="Y83" i="64" s="1"/>
  <c r="Y85" i="64" s="1"/>
  <c r="H14" i="64" s="1"/>
  <c r="Z62" i="64"/>
  <c r="AA62" i="64"/>
  <c r="AB62" i="64"/>
  <c r="AC62" i="64"/>
  <c r="H21" i="64" s="1"/>
  <c r="AD62" i="64"/>
  <c r="H22" i="64" s="1"/>
  <c r="R68" i="64"/>
  <c r="Z68" i="64"/>
  <c r="Z69" i="64"/>
  <c r="Z70" i="64"/>
  <c r="Z71" i="64"/>
  <c r="Z81" i="64"/>
  <c r="Z82" i="64"/>
  <c r="Z84" i="64"/>
  <c r="R65" i="63"/>
  <c r="R66" i="63"/>
  <c r="R67" i="63"/>
  <c r="R68" i="63"/>
  <c r="R69" i="63"/>
  <c r="R70" i="63"/>
  <c r="R83" i="63"/>
  <c r="R84" i="63"/>
  <c r="R85" i="63"/>
  <c r="R86" i="63"/>
  <c r="R87" i="63"/>
  <c r="R37" i="63"/>
  <c r="R38" i="63"/>
  <c r="R39" i="63"/>
  <c r="R40" i="63"/>
  <c r="R41" i="63"/>
  <c r="R42" i="63"/>
  <c r="R43" i="63"/>
  <c r="R44" i="63"/>
  <c r="I70" i="1"/>
  <c r="J70" i="1"/>
  <c r="K70" i="1"/>
  <c r="I66" i="1"/>
  <c r="J66" i="1"/>
  <c r="K66" i="1"/>
  <c r="J61" i="1"/>
  <c r="K61" i="1"/>
  <c r="I51" i="1"/>
  <c r="J51" i="1"/>
  <c r="K51" i="1"/>
  <c r="I44" i="1"/>
  <c r="J44" i="1"/>
  <c r="K44" i="1"/>
  <c r="K36" i="1" l="1"/>
  <c r="H7" i="64"/>
  <c r="H20" i="64"/>
  <c r="I6" i="1"/>
  <c r="J6" i="1"/>
  <c r="H19" i="64"/>
  <c r="H18" i="64"/>
  <c r="H6" i="64"/>
  <c r="H8" i="64" s="1"/>
  <c r="AF62" i="64"/>
  <c r="AC44" i="64"/>
  <c r="Z83" i="64"/>
  <c r="Z85" i="64" s="1"/>
  <c r="J60" i="1"/>
  <c r="K60" i="1"/>
  <c r="I60" i="1"/>
  <c r="I36" i="1"/>
  <c r="J36" i="1"/>
  <c r="I281" i="1" l="1"/>
  <c r="I282" i="1" s="1"/>
  <c r="I297" i="1" s="1"/>
  <c r="I302" i="1" s="1"/>
  <c r="I74" i="1"/>
  <c r="H23" i="64"/>
  <c r="R116" i="2"/>
  <c r="R110" i="2"/>
  <c r="R111" i="2"/>
  <c r="R112" i="2"/>
  <c r="R113" i="2"/>
  <c r="R109" i="2"/>
  <c r="R105" i="2"/>
  <c r="R104" i="2"/>
  <c r="R100" i="2"/>
  <c r="R99" i="2"/>
  <c r="R95" i="2"/>
  <c r="R94" i="2"/>
  <c r="R90" i="2"/>
  <c r="R88" i="2"/>
  <c r="R84" i="2"/>
  <c r="R72" i="2"/>
  <c r="R73" i="2"/>
  <c r="R68" i="2"/>
  <c r="R67" i="2"/>
  <c r="R63" i="2"/>
  <c r="R62" i="2"/>
  <c r="R55" i="2"/>
  <c r="R56" i="2"/>
  <c r="R57" i="2"/>
  <c r="R58" i="2"/>
  <c r="R54" i="2"/>
  <c r="R35" i="2"/>
  <c r="R36" i="2"/>
  <c r="R50" i="2"/>
  <c r="R26" i="2"/>
  <c r="R19" i="2"/>
  <c r="R20" i="2"/>
  <c r="R21" i="2"/>
  <c r="R22" i="2"/>
  <c r="R18" i="2"/>
  <c r="R11" i="2"/>
  <c r="R12" i="2"/>
  <c r="R13" i="2"/>
  <c r="R14" i="2"/>
  <c r="R10" i="2"/>
  <c r="M116" i="2"/>
  <c r="M67" i="2"/>
  <c r="M68" i="2"/>
  <c r="H56" i="1" l="1"/>
  <c r="H49" i="1"/>
  <c r="H93" i="1"/>
  <c r="H92" i="1"/>
  <c r="H91" i="1"/>
  <c r="H140" i="1"/>
  <c r="H153" i="1"/>
  <c r="H152" i="1"/>
  <c r="H225" i="1"/>
  <c r="H219" i="1"/>
  <c r="H213" i="1"/>
  <c r="H207" i="1"/>
  <c r="H201" i="1"/>
  <c r="H195" i="1"/>
  <c r="H189" i="1"/>
  <c r="H165" i="1"/>
  <c r="H224" i="1"/>
  <c r="H218" i="1"/>
  <c r="H212" i="1"/>
  <c r="H206" i="1"/>
  <c r="H200" i="1"/>
  <c r="H194" i="1"/>
  <c r="H188" i="1"/>
  <c r="H164" i="1"/>
  <c r="H223" i="1"/>
  <c r="H217" i="1"/>
  <c r="H211" i="1"/>
  <c r="H205" i="1"/>
  <c r="H199" i="1"/>
  <c r="H193" i="1"/>
  <c r="H187" i="1"/>
  <c r="H163" i="1"/>
  <c r="H151" i="1"/>
  <c r="H139" i="1"/>
  <c r="H222" i="1"/>
  <c r="H216" i="1"/>
  <c r="H210" i="1"/>
  <c r="H204" i="1"/>
  <c r="H198" i="1"/>
  <c r="H192" i="1"/>
  <c r="H186" i="1"/>
  <c r="H162" i="1"/>
  <c r="H150" i="1"/>
  <c r="H138" i="1"/>
  <c r="H90" i="1"/>
  <c r="H42" i="1"/>
  <c r="H41" i="1"/>
  <c r="H55" i="1"/>
  <c r="H48" i="1"/>
  <c r="H54" i="1"/>
  <c r="H47" i="1"/>
  <c r="H40" i="1"/>
  <c r="H53" i="1"/>
  <c r="H46" i="1"/>
  <c r="H39" i="1"/>
  <c r="Z79" i="66"/>
  <c r="Z77" i="66"/>
  <c r="Z76" i="66"/>
  <c r="Z73" i="66"/>
  <c r="Z72" i="66"/>
  <c r="Z71" i="66"/>
  <c r="R71" i="66"/>
  <c r="AD65" i="66"/>
  <c r="H22" i="66" s="1"/>
  <c r="AC65" i="66"/>
  <c r="H21" i="66" s="1"/>
  <c r="AB65" i="66"/>
  <c r="AA65" i="66"/>
  <c r="Z65" i="66"/>
  <c r="Y65" i="66"/>
  <c r="Y78" i="66" s="1"/>
  <c r="Y80" i="66" s="1"/>
  <c r="H14" i="66" s="1"/>
  <c r="X65" i="66"/>
  <c r="X78" i="66" s="1"/>
  <c r="X80" i="66" s="1"/>
  <c r="H13" i="66" s="1"/>
  <c r="W65" i="66"/>
  <c r="W78" i="66" s="1"/>
  <c r="W80" i="66" s="1"/>
  <c r="H12" i="66" s="1"/>
  <c r="V65" i="66"/>
  <c r="V78" i="66" s="1"/>
  <c r="V80" i="66" s="1"/>
  <c r="H11" i="66" s="1"/>
  <c r="U65" i="66"/>
  <c r="T65" i="66"/>
  <c r="R53" i="66"/>
  <c r="AB47" i="66"/>
  <c r="AA47" i="66"/>
  <c r="Z47" i="66"/>
  <c r="Y47" i="66"/>
  <c r="H17" i="66" s="1"/>
  <c r="X47" i="66"/>
  <c r="W47" i="66"/>
  <c r="H15" i="66" s="1"/>
  <c r="V47" i="66"/>
  <c r="U47" i="66"/>
  <c r="T47" i="66"/>
  <c r="H5" i="66" s="1"/>
  <c r="R36" i="66"/>
  <c r="I10" i="66"/>
  <c r="I23" i="66" s="1"/>
  <c r="I8" i="66"/>
  <c r="Z88" i="65"/>
  <c r="Z86" i="65"/>
  <c r="Z85" i="65"/>
  <c r="Z75" i="65"/>
  <c r="Z74" i="65"/>
  <c r="Z73" i="65"/>
  <c r="Z72" i="65"/>
  <c r="R72" i="65"/>
  <c r="AD66" i="65"/>
  <c r="H22" i="65" s="1"/>
  <c r="AC66" i="65"/>
  <c r="H21" i="65" s="1"/>
  <c r="AB66" i="65"/>
  <c r="AA66" i="65"/>
  <c r="Z66" i="65"/>
  <c r="Y66" i="65"/>
  <c r="Y87" i="65" s="1"/>
  <c r="Y89" i="65" s="1"/>
  <c r="H14" i="65" s="1"/>
  <c r="X66" i="65"/>
  <c r="X87" i="65" s="1"/>
  <c r="X89" i="65" s="1"/>
  <c r="H13" i="65" s="1"/>
  <c r="W66" i="65"/>
  <c r="W87" i="65" s="1"/>
  <c r="W89" i="65" s="1"/>
  <c r="H12" i="65" s="1"/>
  <c r="V66" i="65"/>
  <c r="V87" i="65" s="1"/>
  <c r="U66" i="65"/>
  <c r="T66" i="65"/>
  <c r="R54" i="65"/>
  <c r="AB48" i="65"/>
  <c r="AA48" i="65"/>
  <c r="Z48" i="65"/>
  <c r="Y48" i="65"/>
  <c r="H17" i="65" s="1"/>
  <c r="X48" i="65"/>
  <c r="W48" i="65"/>
  <c r="H15" i="65" s="1"/>
  <c r="V48" i="65"/>
  <c r="U48" i="65"/>
  <c r="T48" i="65"/>
  <c r="H5" i="65" s="1"/>
  <c r="R38" i="65"/>
  <c r="I10" i="65"/>
  <c r="I23" i="65" s="1"/>
  <c r="I8" i="65"/>
  <c r="Z92" i="63"/>
  <c r="Z82" i="63"/>
  <c r="R82" i="63"/>
  <c r="AD76" i="63"/>
  <c r="H22" i="63" s="1"/>
  <c r="AC76" i="63"/>
  <c r="H21" i="63" s="1"/>
  <c r="AB76" i="63"/>
  <c r="AA76" i="63"/>
  <c r="Z76" i="63"/>
  <c r="Y76" i="63"/>
  <c r="Y91" i="63" s="1"/>
  <c r="Y93" i="63" s="1"/>
  <c r="H14" i="63" s="1"/>
  <c r="X76" i="63"/>
  <c r="X91" i="63" s="1"/>
  <c r="X93" i="63" s="1"/>
  <c r="H13" i="63" s="1"/>
  <c r="W76" i="63"/>
  <c r="W91" i="63" s="1"/>
  <c r="W93" i="63" s="1"/>
  <c r="H12" i="63" s="1"/>
  <c r="V76" i="63"/>
  <c r="V91" i="63" s="1"/>
  <c r="U76" i="63"/>
  <c r="T76" i="63"/>
  <c r="R64" i="63"/>
  <c r="AB58" i="63"/>
  <c r="AA58" i="63"/>
  <c r="Z58" i="63"/>
  <c r="Y58" i="63"/>
  <c r="H17" i="63" s="1"/>
  <c r="X58" i="63"/>
  <c r="W58" i="63"/>
  <c r="H15" i="63" s="1"/>
  <c r="V58" i="63"/>
  <c r="U58" i="63"/>
  <c r="T58" i="63"/>
  <c r="H5" i="63" s="1"/>
  <c r="R36" i="63"/>
  <c r="I10" i="63"/>
  <c r="I23" i="63" s="1"/>
  <c r="I8" i="63"/>
  <c r="I25" i="65" l="1"/>
  <c r="H7" i="63"/>
  <c r="H19" i="66"/>
  <c r="H20" i="66"/>
  <c r="H20" i="63"/>
  <c r="H18" i="63"/>
  <c r="H7" i="65"/>
  <c r="H19" i="63"/>
  <c r="H7" i="66"/>
  <c r="H18" i="65"/>
  <c r="H19" i="65"/>
  <c r="H6" i="66"/>
  <c r="H18" i="66"/>
  <c r="H6" i="65"/>
  <c r="H20" i="65"/>
  <c r="H6" i="63"/>
  <c r="G25" i="66"/>
  <c r="G25" i="65"/>
  <c r="AF65" i="66"/>
  <c r="AF66" i="65"/>
  <c r="AF76" i="63"/>
  <c r="AC47" i="66"/>
  <c r="AC48" i="65"/>
  <c r="AC58" i="63"/>
  <c r="Z78" i="66"/>
  <c r="Z80" i="66" s="1"/>
  <c r="V89" i="65"/>
  <c r="H11" i="65" s="1"/>
  <c r="Z87" i="65"/>
  <c r="Z89" i="65" s="1"/>
  <c r="V93" i="63"/>
  <c r="H11" i="63" s="1"/>
  <c r="Z91" i="63"/>
  <c r="Z93" i="63" s="1"/>
  <c r="D12" i="61"/>
  <c r="G125" i="1" s="1"/>
  <c r="D24" i="61"/>
  <c r="G123" i="1" s="1"/>
  <c r="L28" i="4"/>
  <c r="L19" i="4"/>
  <c r="L10" i="4"/>
  <c r="N28" i="4"/>
  <c r="N19" i="4"/>
  <c r="N10" i="4"/>
  <c r="H99" i="1"/>
  <c r="H98" i="1"/>
  <c r="H100" i="1"/>
  <c r="H97" i="1"/>
  <c r="G117" i="1" l="1"/>
  <c r="H23" i="66"/>
  <c r="H8" i="63"/>
  <c r="H8" i="66"/>
  <c r="H23" i="63"/>
  <c r="H8" i="65"/>
  <c r="H23" i="65"/>
  <c r="H117" i="1"/>
  <c r="H96" i="1"/>
  <c r="H128" i="1"/>
  <c r="H130" i="1"/>
  <c r="H129" i="1"/>
  <c r="H52" i="1"/>
  <c r="H45" i="1"/>
  <c r="H38" i="1"/>
  <c r="H37" i="1" s="1"/>
  <c r="H220" i="1"/>
  <c r="H214" i="1"/>
  <c r="H208" i="1"/>
  <c r="H202" i="1"/>
  <c r="H196" i="1"/>
  <c r="H190" i="1"/>
  <c r="H184" i="1"/>
  <c r="H137" i="1"/>
  <c r="H136" i="1" s="1"/>
  <c r="H89" i="1"/>
  <c r="H25" i="65" l="1"/>
  <c r="H183" i="1"/>
  <c r="H127" i="1"/>
  <c r="C128" i="2"/>
  <c r="C136" i="2"/>
  <c r="B136" i="2"/>
  <c r="D128" i="2"/>
  <c r="B128" i="2"/>
  <c r="G254" i="1" s="1"/>
  <c r="Q114" i="2"/>
  <c r="P114" i="2"/>
  <c r="O114" i="2"/>
  <c r="N114" i="2"/>
  <c r="K114" i="2"/>
  <c r="J114" i="2"/>
  <c r="I114" i="2"/>
  <c r="H114" i="2"/>
  <c r="G114" i="2"/>
  <c r="F114" i="2"/>
  <c r="E114" i="2"/>
  <c r="D114" i="2"/>
  <c r="C114" i="2"/>
  <c r="B114" i="2"/>
  <c r="Q106" i="2"/>
  <c r="P106" i="2"/>
  <c r="O106" i="2"/>
  <c r="N106" i="2"/>
  <c r="K106" i="2"/>
  <c r="J106" i="2"/>
  <c r="I106" i="2"/>
  <c r="H106" i="2"/>
  <c r="G106" i="2"/>
  <c r="F106" i="2"/>
  <c r="E106" i="2"/>
  <c r="D106" i="2"/>
  <c r="C106" i="2"/>
  <c r="B106" i="2"/>
  <c r="Q101" i="2"/>
  <c r="P101" i="2"/>
  <c r="O101" i="2"/>
  <c r="N101" i="2"/>
  <c r="K101" i="2"/>
  <c r="J101" i="2"/>
  <c r="I101" i="2"/>
  <c r="H101" i="2"/>
  <c r="G101" i="2"/>
  <c r="F101" i="2"/>
  <c r="E101" i="2"/>
  <c r="D101" i="2"/>
  <c r="C101" i="2"/>
  <c r="B101" i="2"/>
  <c r="Q96" i="2"/>
  <c r="P96" i="2"/>
  <c r="O96" i="2"/>
  <c r="N96" i="2"/>
  <c r="K96" i="2"/>
  <c r="J96" i="2"/>
  <c r="I96" i="2"/>
  <c r="H96" i="2"/>
  <c r="G96" i="2"/>
  <c r="F96" i="2"/>
  <c r="E96" i="2"/>
  <c r="D96" i="2"/>
  <c r="C96" i="2"/>
  <c r="B96" i="2"/>
  <c r="Q91" i="2"/>
  <c r="P91" i="2"/>
  <c r="O91" i="2"/>
  <c r="N91" i="2"/>
  <c r="K91" i="2"/>
  <c r="J91" i="2"/>
  <c r="I91" i="2"/>
  <c r="H91" i="2"/>
  <c r="G91" i="2"/>
  <c r="F91" i="2"/>
  <c r="E91" i="2"/>
  <c r="D91" i="2"/>
  <c r="C91" i="2"/>
  <c r="B91" i="2"/>
  <c r="Q85" i="2"/>
  <c r="P85" i="2"/>
  <c r="O85" i="2"/>
  <c r="N85" i="2"/>
  <c r="K85" i="2"/>
  <c r="J85" i="2"/>
  <c r="I85" i="2"/>
  <c r="H85" i="2"/>
  <c r="G85" i="2"/>
  <c r="F85" i="2"/>
  <c r="E85" i="2"/>
  <c r="D85" i="2"/>
  <c r="C85" i="2"/>
  <c r="B85" i="2"/>
  <c r="Q74" i="2"/>
  <c r="P74" i="2"/>
  <c r="O74" i="2"/>
  <c r="N74" i="2"/>
  <c r="K74" i="2"/>
  <c r="J74" i="2"/>
  <c r="I74" i="2"/>
  <c r="H74" i="2"/>
  <c r="G74" i="2"/>
  <c r="F74" i="2"/>
  <c r="E74" i="2"/>
  <c r="D74" i="2"/>
  <c r="C74" i="2"/>
  <c r="B74" i="2"/>
  <c r="Q69" i="2"/>
  <c r="P69" i="2"/>
  <c r="O69" i="2"/>
  <c r="N69" i="2"/>
  <c r="K69" i="2"/>
  <c r="J69" i="2"/>
  <c r="I69" i="2"/>
  <c r="H69" i="2"/>
  <c r="G69" i="2"/>
  <c r="F69" i="2"/>
  <c r="E69" i="2"/>
  <c r="D69" i="2"/>
  <c r="C69" i="2"/>
  <c r="B69" i="2"/>
  <c r="Q64" i="2"/>
  <c r="P64" i="2"/>
  <c r="O64" i="2"/>
  <c r="N64" i="2"/>
  <c r="K64" i="2"/>
  <c r="J64" i="2"/>
  <c r="I64" i="2"/>
  <c r="H64" i="2"/>
  <c r="G64" i="2"/>
  <c r="F64" i="2"/>
  <c r="E64" i="2"/>
  <c r="D64" i="2"/>
  <c r="C64" i="2"/>
  <c r="B64" i="2"/>
  <c r="Q59" i="2"/>
  <c r="P59" i="2"/>
  <c r="O59" i="2"/>
  <c r="N59" i="2"/>
  <c r="Q51" i="2"/>
  <c r="P51" i="2"/>
  <c r="O51" i="2"/>
  <c r="N51" i="2"/>
  <c r="Q23" i="2"/>
  <c r="P23" i="2"/>
  <c r="O23" i="2"/>
  <c r="N23" i="2"/>
  <c r="K23" i="2"/>
  <c r="J23" i="2"/>
  <c r="I23" i="2"/>
  <c r="H23" i="2"/>
  <c r="G23" i="2"/>
  <c r="F23" i="2"/>
  <c r="E23" i="2"/>
  <c r="D23" i="2"/>
  <c r="C23" i="2"/>
  <c r="B23" i="2"/>
  <c r="C15" i="2"/>
  <c r="D15" i="2"/>
  <c r="E15" i="2"/>
  <c r="F15" i="2"/>
  <c r="G15" i="2"/>
  <c r="H15" i="2"/>
  <c r="I15" i="2"/>
  <c r="J15" i="2"/>
  <c r="K15" i="2"/>
  <c r="N15" i="2"/>
  <c r="O15" i="2"/>
  <c r="P15" i="2"/>
  <c r="Q15" i="2"/>
  <c r="B15" i="2"/>
  <c r="D11" i="62"/>
  <c r="D131" i="2" l="1"/>
  <c r="D136" i="2" s="1"/>
  <c r="E256" i="1" s="1"/>
  <c r="M23" i="2"/>
  <c r="E118" i="2"/>
  <c r="E4" i="2" s="1"/>
  <c r="E177" i="1" s="1"/>
  <c r="D118" i="2"/>
  <c r="D4" i="2" s="1"/>
  <c r="E135" i="1" s="1"/>
  <c r="E132" i="1" s="1"/>
  <c r="J118" i="2"/>
  <c r="J4" i="2" s="1"/>
  <c r="E180" i="1" s="1"/>
  <c r="C118" i="2"/>
  <c r="C4" i="2" s="1"/>
  <c r="E176" i="1" s="1"/>
  <c r="M96" i="2"/>
  <c r="I118" i="2"/>
  <c r="I4" i="2" s="1"/>
  <c r="E147" i="1" s="1"/>
  <c r="E144" i="1" s="1"/>
  <c r="B118" i="2"/>
  <c r="B4" i="2" s="1"/>
  <c r="E175" i="1" s="1"/>
  <c r="M15" i="2"/>
  <c r="H118" i="2"/>
  <c r="H4" i="2" s="1"/>
  <c r="M64" i="2"/>
  <c r="M91" i="2"/>
  <c r="M114" i="2"/>
  <c r="F118" i="2"/>
  <c r="F4" i="2" s="1"/>
  <c r="M59" i="2"/>
  <c r="M85" i="2"/>
  <c r="M106" i="2"/>
  <c r="G118" i="2"/>
  <c r="G4" i="2" s="1"/>
  <c r="M101" i="2"/>
  <c r="M74" i="2"/>
  <c r="K118" i="2"/>
  <c r="C138" i="2"/>
  <c r="B138" i="2"/>
  <c r="Q118" i="2"/>
  <c r="Q4" i="2" s="1"/>
  <c r="E28" i="1" s="1"/>
  <c r="E27" i="1" s="1"/>
  <c r="O118" i="2"/>
  <c r="O4" i="2" s="1"/>
  <c r="E20" i="1" s="1"/>
  <c r="N118" i="2"/>
  <c r="N4" i="2" s="1"/>
  <c r="E19" i="1" s="1"/>
  <c r="E18" i="1" s="1"/>
  <c r="P118" i="2"/>
  <c r="R114" i="2"/>
  <c r="R101" i="2"/>
  <c r="R106" i="2"/>
  <c r="R96" i="2"/>
  <c r="R91" i="2"/>
  <c r="R74" i="2"/>
  <c r="R85" i="2"/>
  <c r="R69" i="2"/>
  <c r="M69" i="2"/>
  <c r="R64" i="2"/>
  <c r="R59" i="2"/>
  <c r="R51" i="2"/>
  <c r="R23" i="2"/>
  <c r="E6" i="1" l="1"/>
  <c r="G144" i="1"/>
  <c r="E179" i="1"/>
  <c r="G156" i="1"/>
  <c r="E178" i="1"/>
  <c r="E158" i="1"/>
  <c r="E156" i="1" s="1"/>
  <c r="E251" i="1"/>
  <c r="E250" i="1"/>
  <c r="E281" i="1"/>
  <c r="E74" i="1"/>
  <c r="G256" i="1"/>
  <c r="D138" i="2"/>
  <c r="G18" i="1"/>
  <c r="H24" i="1"/>
  <c r="H23" i="1" s="1"/>
  <c r="P4" i="2"/>
  <c r="G24" i="1" s="1"/>
  <c r="G23" i="1" s="1"/>
  <c r="H181" i="1"/>
  <c r="K4" i="2"/>
  <c r="E181" i="1" s="1"/>
  <c r="H135" i="1"/>
  <c r="H132" i="1" s="1"/>
  <c r="H177" i="1"/>
  <c r="H158" i="1"/>
  <c r="H147" i="1"/>
  <c r="H180" i="1"/>
  <c r="H176" i="1"/>
  <c r="H178" i="1"/>
  <c r="H175" i="1"/>
  <c r="H179" i="1"/>
  <c r="E174" i="1" l="1"/>
  <c r="E116" i="1" s="1"/>
  <c r="E280" i="1" s="1"/>
  <c r="E282" i="1" s="1"/>
  <c r="G251" i="1"/>
  <c r="G250" i="1"/>
  <c r="G174" i="1"/>
  <c r="G116" i="1" s="1"/>
  <c r="M4" i="2"/>
  <c r="H174" i="1"/>
  <c r="G6" i="1"/>
  <c r="G74" i="1" s="1"/>
  <c r="G281" i="1" l="1"/>
  <c r="H229" i="1"/>
  <c r="H228" i="1" s="1"/>
  <c r="H106" i="1" l="1"/>
  <c r="H105" i="1"/>
  <c r="H104" i="1"/>
  <c r="H103" i="1"/>
  <c r="D31" i="49"/>
  <c r="D30" i="49"/>
  <c r="D26" i="49"/>
  <c r="D25" i="49"/>
  <c r="D22" i="49"/>
  <c r="D21" i="49"/>
  <c r="H9" i="49" s="1"/>
  <c r="I14" i="49" l="1"/>
  <c r="G81" i="1" s="1"/>
  <c r="H15" i="49"/>
  <c r="H21" i="49" s="1"/>
  <c r="H22" i="49" s="1"/>
  <c r="H102" i="1"/>
  <c r="D33" i="49"/>
  <c r="R15" i="2"/>
  <c r="R118" i="2" s="1"/>
  <c r="R4" i="2" s="1"/>
  <c r="C7" i="49"/>
  <c r="C5" i="49"/>
  <c r="C4" i="49"/>
  <c r="H87" i="1"/>
  <c r="H86" i="1" s="1"/>
  <c r="H70" i="1"/>
  <c r="G79" i="1" l="1"/>
  <c r="G78" i="1"/>
  <c r="C15" i="49"/>
  <c r="D6" i="49"/>
  <c r="H51" i="1"/>
  <c r="H44" i="1"/>
  <c r="G280" i="1" l="1"/>
  <c r="G282" i="1" s="1"/>
  <c r="H261" i="1"/>
  <c r="H148" i="1" l="1"/>
  <c r="H144" i="1" s="1"/>
  <c r="H88" i="1"/>
  <c r="H78" i="1" s="1"/>
  <c r="H36" i="1"/>
  <c r="H160" i="1"/>
  <c r="H156" i="1" s="1"/>
  <c r="H116" i="1" l="1"/>
  <c r="H275" i="1"/>
  <c r="H270" i="1" l="1"/>
  <c r="H265" i="1" s="1"/>
  <c r="H250" i="1" s="1"/>
  <c r="H280" i="1" s="1"/>
  <c r="H285" i="1" s="1"/>
  <c r="H61" i="1" l="1"/>
  <c r="H66" i="1"/>
  <c r="H60" i="1" l="1"/>
  <c r="H6" i="1"/>
  <c r="H281" i="1" l="1"/>
  <c r="H282" i="1" s="1"/>
  <c r="H7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fedde</author>
  </authors>
  <commentList>
    <comment ref="D5" authorId="0" shapeId="0" xr:uid="{59938C48-EABA-46E0-A6D7-F48197CB97F9}">
      <text>
        <r>
          <rPr>
            <b/>
            <sz val="9"/>
            <color indexed="81"/>
            <rFont val="Segoe UI"/>
            <family val="2"/>
          </rPr>
          <t>Alle Teilnahmebeiträge für Fachseminare</t>
        </r>
      </text>
    </comment>
    <comment ref="D6" authorId="0" shapeId="0" xr:uid="{55B4B3B7-A936-4B24-8889-1A8A0712297F}">
      <text>
        <r>
          <rPr>
            <b/>
            <sz val="9"/>
            <color indexed="81"/>
            <rFont val="Segoe UI"/>
            <family val="2"/>
          </rPr>
          <t>Fachschaftsexkursionen z.B., Workshop Großpuppenbau</t>
        </r>
      </text>
    </comment>
    <comment ref="D7" authorId="0" shapeId="0" xr:uid="{CD357C94-33EE-47DD-9936-E05017A64053}">
      <text>
        <r>
          <rPr>
            <b/>
            <sz val="9"/>
            <color indexed="81"/>
            <rFont val="Segoe UI"/>
            <family val="2"/>
          </rPr>
          <t>Einnahmen aus Bewirtungen nur als durchlaufende Posten, hier nur noch nicht abgerechnete Vorauszahlungen.</t>
        </r>
      </text>
    </comment>
    <comment ref="D10" authorId="0" shapeId="0" xr:uid="{07F16689-45B8-43B4-B537-6F91678A6979}">
      <text>
        <r>
          <rPr>
            <b/>
            <sz val="9"/>
            <color indexed="81"/>
            <rFont val="Segoe UI"/>
            <family val="2"/>
          </rPr>
          <t>Feststehender Posten gem. Satzung</t>
        </r>
      </text>
    </comment>
    <comment ref="D12" authorId="0" shapeId="0" xr:uid="{DF0E5553-E338-4581-B703-9E856F7762D2}">
      <text>
        <r>
          <rPr>
            <b/>
            <sz val="9"/>
            <color indexed="81"/>
            <rFont val="Segoe UI"/>
            <family val="2"/>
          </rPr>
          <t>Enthält alle FK und VP, die an FSR-Mitglieder und Ersatzmitglieder gezahlt werden.</t>
        </r>
      </text>
    </comment>
    <comment ref="D13" authorId="0" shapeId="0" xr:uid="{1A3C1554-BD44-469D-8877-5A1B5AC29533}">
      <text>
        <r>
          <rPr>
            <b/>
            <sz val="9"/>
            <color indexed="81"/>
            <rFont val="Segoe UI"/>
            <family val="2"/>
          </rPr>
          <t>Alle Raum. Und Unterkunftskosten für Interne. Bedient Sitzungen, Treffen, Reisen in Funktion u.ä.</t>
        </r>
      </text>
    </comment>
    <comment ref="D14" authorId="0" shapeId="0" xr:uid="{52400FD4-65A3-45FA-8EEB-3FCF44940279}">
      <text>
        <r>
          <rPr>
            <b/>
            <sz val="9"/>
            <color indexed="81"/>
            <rFont val="Segoe UI"/>
            <family val="2"/>
          </rPr>
          <t>Nur "Food", nicht "Non-Food".
Repräsentation: Bspw. Fachschaftskleidung</t>
        </r>
      </text>
    </comment>
    <comment ref="D15" authorId="0" shapeId="0" xr:uid="{593ACF63-5541-4F44-9B2F-599E517178F1}">
      <text>
        <r>
          <rPr>
            <b/>
            <sz val="9"/>
            <color indexed="81"/>
            <rFont val="Segoe UI"/>
            <family val="2"/>
          </rPr>
          <t>Hier nur die Honorare für Dozierende kostenpflichtiger Seminare für Studierende</t>
        </r>
      </text>
    </comment>
    <comment ref="D16" authorId="0" shapeId="0" xr:uid="{149F9524-4AE5-458A-A2F9-60B1CACEB442}">
      <text>
        <r>
          <rPr>
            <b/>
            <sz val="9"/>
            <color indexed="81"/>
            <rFont val="Segoe UI"/>
            <family val="2"/>
          </rPr>
          <t>Hier alle anderen Honorare für externe Dozierende. Z.B. kostenlose Seminare, Workshops, Vorträge...</t>
        </r>
      </text>
    </comment>
    <comment ref="D17" authorId="0" shapeId="0" xr:uid="{E80ABDAA-DB08-4810-B5F0-42D8D628ADD9}">
      <text>
        <r>
          <rPr>
            <b/>
            <sz val="9"/>
            <color indexed="81"/>
            <rFont val="Segoe UI"/>
            <family val="2"/>
          </rPr>
          <t>Alle RK-Erstattungen an Externe. Meist Doz. Präsenzseminare und andere Dozierende.</t>
        </r>
      </text>
    </comment>
    <comment ref="D18" authorId="0" shapeId="0" xr:uid="{BE35645E-BBB6-4318-A246-BEB9FD195286}">
      <text>
        <r>
          <rPr>
            <b/>
            <sz val="9"/>
            <color indexed="81"/>
            <rFont val="Segoe UI"/>
            <family val="2"/>
          </rPr>
          <t>Kaffee und Kekse für Präsenzseminare.
Ein Kasten Bier.
Empfänge. Wiwi-Eule.</t>
        </r>
      </text>
    </comment>
    <comment ref="D19" authorId="0" shapeId="0" xr:uid="{A6FBD877-96D6-4EDC-AD18-071D3B57769F}">
      <text>
        <r>
          <rPr>
            <b/>
            <sz val="9"/>
            <color indexed="81"/>
            <rFont val="Segoe UI"/>
            <family val="2"/>
          </rPr>
          <t>Unterkunft Doz., kostenpfl. Räume in der BHS oder anderswo.</t>
        </r>
      </text>
    </comment>
    <comment ref="D20" authorId="0" shapeId="0" xr:uid="{7BE24124-8F08-4319-98A6-308F819B366A}">
      <text>
        <r>
          <rPr>
            <b/>
            <sz val="9"/>
            <color indexed="81"/>
            <rFont val="Segoe UI"/>
            <family val="2"/>
          </rPr>
          <t>Alle Druckkosten</t>
        </r>
      </text>
    </comment>
    <comment ref="D21" authorId="0" shapeId="0" xr:uid="{F540E875-5F6A-4CE4-A185-1B53905BD937}">
      <text>
        <r>
          <rPr>
            <b/>
            <sz val="9"/>
            <color indexed="81"/>
            <rFont val="Segoe UI"/>
            <family val="2"/>
          </rPr>
          <t>Auch: Beteiligung an Versandkosten für Sprachrohr-Beilagen, Non-Food, Kleinanschaffungen</t>
        </r>
      </text>
    </comment>
    <comment ref="D22" authorId="0" shapeId="0" xr:uid="{05CC0B7F-82AC-4F51-8E77-22F47763CF1A}">
      <text>
        <r>
          <rPr>
            <b/>
            <sz val="9"/>
            <color indexed="81"/>
            <rFont val="Segoe UI"/>
            <family val="2"/>
          </rPr>
          <t>Rechtsangelegenheiten laufen über den AStA und erfordern eine Gegenzeichnung.</t>
        </r>
      </text>
    </comment>
    <comment ref="D32" authorId="0" shapeId="0" xr:uid="{F664DE27-7BB8-45D0-AEFF-52E6E7AC6A42}">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47" authorId="0" shapeId="0" xr:uid="{F9AAACB6-84F4-42AD-BD95-04B50A0AEC6C}">
      <text>
        <r>
          <rPr>
            <b/>
            <sz val="9"/>
            <color indexed="81"/>
            <rFont val="Segoe UI"/>
            <family val="2"/>
          </rPr>
          <t>Alle Maßnahmen, Tätigkeiten, Kleinanschaffungen, Exkursionen und Vergleichbares</t>
        </r>
      </text>
    </comment>
    <comment ref="D64" authorId="0" shapeId="0" xr:uid="{21766121-E751-452E-B004-C6C0044046DF}">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fedde</author>
  </authors>
  <commentList>
    <comment ref="D5" authorId="0" shapeId="0" xr:uid="{97DBFA6C-C40C-4A41-BA8A-9B2D248B28B6}">
      <text>
        <r>
          <rPr>
            <b/>
            <sz val="9"/>
            <color indexed="81"/>
            <rFont val="Segoe UI"/>
            <family val="2"/>
          </rPr>
          <t>Alle Teilnahmebeiträge für Fachseminare</t>
        </r>
      </text>
    </comment>
    <comment ref="D6" authorId="0" shapeId="0" xr:uid="{A2586160-91F9-4B9F-B43E-C59421B18D72}">
      <text>
        <r>
          <rPr>
            <b/>
            <sz val="9"/>
            <color indexed="81"/>
            <rFont val="Segoe UI"/>
            <family val="2"/>
          </rPr>
          <t>Fachschaftsexkursionen z.B., Workshop Großpuppenbau</t>
        </r>
      </text>
    </comment>
    <comment ref="D7" authorId="0" shapeId="0" xr:uid="{ED8002A3-67A0-4490-82BB-EE73C8BF8602}">
      <text>
        <r>
          <rPr>
            <b/>
            <sz val="9"/>
            <color indexed="81"/>
            <rFont val="Segoe UI"/>
            <family val="2"/>
          </rPr>
          <t>Einnahmen aus Bewirtungen nur als durchlaufende Posten, hier nur noch nicht abgerechnete Vorauszahlungen.</t>
        </r>
      </text>
    </comment>
    <comment ref="D10" authorId="0" shapeId="0" xr:uid="{56D15F93-B36A-42D7-8683-1A165F381944}">
      <text>
        <r>
          <rPr>
            <b/>
            <sz val="9"/>
            <color indexed="81"/>
            <rFont val="Segoe UI"/>
            <family val="2"/>
          </rPr>
          <t>Feststehender Posten gem. Satzung</t>
        </r>
      </text>
    </comment>
    <comment ref="D12" authorId="0" shapeId="0" xr:uid="{3B3AB6DA-2858-4289-84B1-7A54DE0576B1}">
      <text>
        <r>
          <rPr>
            <b/>
            <sz val="9"/>
            <color indexed="81"/>
            <rFont val="Segoe UI"/>
            <family val="2"/>
          </rPr>
          <t>Enthält alle FK und VP, die an FSR-Mitglieder und Ersatzmitglieder gezahlt werden.</t>
        </r>
      </text>
    </comment>
    <comment ref="D13" authorId="0" shapeId="0" xr:uid="{B0737160-75E5-4ABD-8AE2-6ED0C98C55AC}">
      <text>
        <r>
          <rPr>
            <b/>
            <sz val="9"/>
            <color indexed="81"/>
            <rFont val="Segoe UI"/>
            <family val="2"/>
          </rPr>
          <t>Alle Raum. Und Unterkunftskosten für Interne. Bedient Sitzungen, Treffen, Reisen in Funktion u.ä.</t>
        </r>
      </text>
    </comment>
    <comment ref="D14" authorId="0" shapeId="0" xr:uid="{FA3E37B6-5220-490B-81F2-507DFAECB4DD}">
      <text>
        <r>
          <rPr>
            <b/>
            <sz val="9"/>
            <color indexed="81"/>
            <rFont val="Segoe UI"/>
            <family val="2"/>
          </rPr>
          <t>Nur "Food", nicht "Non-Food".
Repräsentation: Bspw. Fachschaftskleidung</t>
        </r>
      </text>
    </comment>
    <comment ref="D15" authorId="0" shapeId="0" xr:uid="{921B0E08-5CF0-4EBC-AB0A-E6521C223DF5}">
      <text>
        <r>
          <rPr>
            <b/>
            <sz val="9"/>
            <color indexed="81"/>
            <rFont val="Segoe UI"/>
            <family val="2"/>
          </rPr>
          <t>Hier nur die Honorare für Dozierende kostenpflichtiger Seminare für Studierende</t>
        </r>
      </text>
    </comment>
    <comment ref="D16" authorId="0" shapeId="0" xr:uid="{672FA163-40BB-4629-9333-75519EB8B087}">
      <text>
        <r>
          <rPr>
            <b/>
            <sz val="9"/>
            <color indexed="81"/>
            <rFont val="Segoe UI"/>
            <family val="2"/>
          </rPr>
          <t>Hier alle anderen Honorare für externe Dozierende. Z.B. kostenlose Seminare, Workshops, Vorträge...</t>
        </r>
      </text>
    </comment>
    <comment ref="D17" authorId="0" shapeId="0" xr:uid="{8CC2CFCC-DADE-40C6-9A29-E8C5D2C651CE}">
      <text>
        <r>
          <rPr>
            <b/>
            <sz val="9"/>
            <color indexed="81"/>
            <rFont val="Segoe UI"/>
            <family val="2"/>
          </rPr>
          <t>Alle RK-Erstattungen an Externe. Meist Doz. Präsenzseminare und andere Dozierende.</t>
        </r>
      </text>
    </comment>
    <comment ref="D18" authorId="0" shapeId="0" xr:uid="{FFE8594A-7D9D-4EF7-B588-F75550020BA0}">
      <text>
        <r>
          <rPr>
            <b/>
            <sz val="9"/>
            <color indexed="81"/>
            <rFont val="Segoe UI"/>
            <family val="2"/>
          </rPr>
          <t>Kaffee und Kekse für Präsenzseminare.
Ein Kasten Bier.
Empfänge. Wiwi-Eule.</t>
        </r>
      </text>
    </comment>
    <comment ref="D19" authorId="0" shapeId="0" xr:uid="{FB49591F-D572-428B-9E85-B1C75EAE7E47}">
      <text>
        <r>
          <rPr>
            <b/>
            <sz val="9"/>
            <color indexed="81"/>
            <rFont val="Segoe UI"/>
            <family val="2"/>
          </rPr>
          <t>Unterkunft Doz., kostenpfl. Räume in der BHS oder anderswo.</t>
        </r>
      </text>
    </comment>
    <comment ref="D20" authorId="0" shapeId="0" xr:uid="{C04FA63F-4754-4CC8-880C-116422AAE79A}">
      <text>
        <r>
          <rPr>
            <b/>
            <sz val="9"/>
            <color indexed="81"/>
            <rFont val="Segoe UI"/>
            <family val="2"/>
          </rPr>
          <t>Alle Druckkosten</t>
        </r>
      </text>
    </comment>
    <comment ref="D21" authorId="0" shapeId="0" xr:uid="{96FDE552-DAB2-47A8-9CC0-16F43F3D91A2}">
      <text>
        <r>
          <rPr>
            <b/>
            <sz val="9"/>
            <color indexed="81"/>
            <rFont val="Segoe UI"/>
            <family val="2"/>
          </rPr>
          <t>Auch: Beteiligung an Versandkosten für Sprachrohr-Beilagen, Non-Food, Kleinanschaffungen</t>
        </r>
      </text>
    </comment>
    <comment ref="D22" authorId="0" shapeId="0" xr:uid="{DD499FAB-B386-4952-B196-10B39FC602E1}">
      <text>
        <r>
          <rPr>
            <b/>
            <sz val="9"/>
            <color indexed="81"/>
            <rFont val="Segoe UI"/>
            <family val="2"/>
          </rPr>
          <t>Rechtsangelegenheiten laufen über den AStA und erfordern eine Gegenzeichnung.</t>
        </r>
      </text>
    </comment>
    <comment ref="D32" authorId="0" shapeId="0" xr:uid="{E4029CFA-0455-47C1-8760-AF19BA04B2FB}">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U32" authorId="0" shapeId="0" xr:uid="{D5E25793-F6C3-492E-ACD8-F4F8987CE530}">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60" authorId="0" shapeId="0" xr:uid="{7CC8DC22-D287-4104-A05A-7E866BC1FAA6}">
      <text>
        <r>
          <rPr>
            <b/>
            <sz val="9"/>
            <color indexed="81"/>
            <rFont val="Segoe UI"/>
            <family val="2"/>
          </rPr>
          <t>Alle Maßnahmen, Tätigkeiten, Kleinanschaffungen, Exkursionen und Vergleichbares</t>
        </r>
      </text>
    </comment>
    <comment ref="U60" authorId="0" shapeId="0" xr:uid="{A06FE07A-A828-4E7A-9D26-D1239D0A86CB}">
      <text>
        <r>
          <rPr>
            <b/>
            <sz val="9"/>
            <color indexed="81"/>
            <rFont val="Segoe UI"/>
            <family val="2"/>
          </rPr>
          <t>Alle Maßnahmen, Tätigkeiten, Kleinanschaffungen, Exkursionen und Vergleichbares</t>
        </r>
      </text>
    </comment>
    <comment ref="D78" authorId="0" shapeId="0" xr:uid="{636BADB1-011E-460A-A0D5-C830CDF232F3}">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 ref="U78" authorId="0" shapeId="0" xr:uid="{16A77E5D-7D93-4075-A447-720A07C94F61}">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fedde</author>
  </authors>
  <commentList>
    <comment ref="D5" authorId="0" shapeId="0" xr:uid="{C5774EB2-5A89-4C41-9EA9-795B8BFCA958}">
      <text>
        <r>
          <rPr>
            <b/>
            <sz val="9"/>
            <color indexed="81"/>
            <rFont val="Segoe UI"/>
            <family val="2"/>
          </rPr>
          <t>Alle Teilnahmebeiträge für Fachseminare</t>
        </r>
      </text>
    </comment>
    <comment ref="D6" authorId="0" shapeId="0" xr:uid="{E888E2CE-53EA-4F1E-BEDE-D683D76A1594}">
      <text>
        <r>
          <rPr>
            <b/>
            <sz val="9"/>
            <color indexed="81"/>
            <rFont val="Segoe UI"/>
            <family val="2"/>
          </rPr>
          <t>Fachschaftsexkursionen z.B., Workshop Großpuppenbau</t>
        </r>
      </text>
    </comment>
    <comment ref="D7" authorId="0" shapeId="0" xr:uid="{DD4D43E7-0531-4FC5-96FA-37BD3DFA5838}">
      <text>
        <r>
          <rPr>
            <b/>
            <sz val="9"/>
            <color indexed="81"/>
            <rFont val="Segoe UI"/>
            <family val="2"/>
          </rPr>
          <t>Einnahmen aus Bewirtungen nur als durchlaufende Posten, hier nur noch nicht abgerechnete Vorauszahlungen.</t>
        </r>
      </text>
    </comment>
    <comment ref="D10" authorId="0" shapeId="0" xr:uid="{AD8372AE-261D-4D20-910D-5AB874C56731}">
      <text>
        <r>
          <rPr>
            <b/>
            <sz val="9"/>
            <color indexed="81"/>
            <rFont val="Segoe UI"/>
            <family val="2"/>
          </rPr>
          <t>Feststehender Posten gem. Satzung</t>
        </r>
      </text>
    </comment>
    <comment ref="D12" authorId="0" shapeId="0" xr:uid="{D90CCEE5-1C93-496A-9E69-8C84CB7A83F0}">
      <text>
        <r>
          <rPr>
            <b/>
            <sz val="9"/>
            <color indexed="81"/>
            <rFont val="Segoe UI"/>
            <family val="2"/>
          </rPr>
          <t>Enthält alle FK und VP, die an FSR-Mitglieder und Ersatzmitglieder gezahlt werden.</t>
        </r>
      </text>
    </comment>
    <comment ref="D13" authorId="0" shapeId="0" xr:uid="{419D451F-60BE-4430-9C07-8FEBE155DAAE}">
      <text>
        <r>
          <rPr>
            <b/>
            <sz val="9"/>
            <color indexed="81"/>
            <rFont val="Segoe UI"/>
            <family val="2"/>
          </rPr>
          <t>Alle Raum. Und Unterkunftskosten für Interne. Bedient Sitzungen, Treffen, Reisen in Funktion u.ä.</t>
        </r>
      </text>
    </comment>
    <comment ref="D14" authorId="0" shapeId="0" xr:uid="{58714DC5-9514-44B8-AB9E-3878E325D15C}">
      <text>
        <r>
          <rPr>
            <b/>
            <sz val="9"/>
            <color indexed="81"/>
            <rFont val="Segoe UI"/>
            <family val="2"/>
          </rPr>
          <t>Nur "Food", nicht "Non-Food".
Repräsentation: Bspw. Fachschaftskleidung</t>
        </r>
      </text>
    </comment>
    <comment ref="D15" authorId="0" shapeId="0" xr:uid="{91230EF9-D3B7-4E60-8A2B-347C546983CE}">
      <text>
        <r>
          <rPr>
            <b/>
            <sz val="9"/>
            <color indexed="81"/>
            <rFont val="Segoe UI"/>
            <family val="2"/>
          </rPr>
          <t>Hier nur die Honorare für Dozierende kostenpflichtiger Seminare für Studierende</t>
        </r>
      </text>
    </comment>
    <comment ref="D16" authorId="0" shapeId="0" xr:uid="{305EE308-8B62-40DD-872E-D09905142507}">
      <text>
        <r>
          <rPr>
            <b/>
            <sz val="9"/>
            <color indexed="81"/>
            <rFont val="Segoe UI"/>
            <family val="2"/>
          </rPr>
          <t>Hier alle anderen Honorare für externe Dozierende. Z.B. kostenlose Seminare, Workshops, Vorträge...</t>
        </r>
      </text>
    </comment>
    <comment ref="D17" authorId="0" shapeId="0" xr:uid="{C6FBF64C-1636-4B5B-A7AB-2B649C8465B9}">
      <text>
        <r>
          <rPr>
            <b/>
            <sz val="9"/>
            <color indexed="81"/>
            <rFont val="Segoe UI"/>
            <family val="2"/>
          </rPr>
          <t>Alle RK-Erstattungen an Externe. Meist Doz. Präsenzseminare und andere Dozierende.</t>
        </r>
      </text>
    </comment>
    <comment ref="D18" authorId="0" shapeId="0" xr:uid="{0135A773-C284-48DD-BCE9-5F966C56C501}">
      <text>
        <r>
          <rPr>
            <b/>
            <sz val="9"/>
            <color indexed="81"/>
            <rFont val="Segoe UI"/>
            <family val="2"/>
          </rPr>
          <t>Kaffee und Kekse für Präsenzseminare.
Ein Kasten Bier.
Empfänge. Wiwi-Eule.</t>
        </r>
      </text>
    </comment>
    <comment ref="D19" authorId="0" shapeId="0" xr:uid="{5F78A67F-717F-4E1E-9529-96BB55C03F9C}">
      <text>
        <r>
          <rPr>
            <b/>
            <sz val="9"/>
            <color indexed="81"/>
            <rFont val="Segoe UI"/>
            <family val="2"/>
          </rPr>
          <t>Unterkunft Doz., kostenpfl. Räume in der BHS oder anderswo.</t>
        </r>
      </text>
    </comment>
    <comment ref="D20" authorId="0" shapeId="0" xr:uid="{42D5BDFF-84E2-471A-A9DA-4FCB7291DC3F}">
      <text>
        <r>
          <rPr>
            <b/>
            <sz val="9"/>
            <color indexed="81"/>
            <rFont val="Segoe UI"/>
            <family val="2"/>
          </rPr>
          <t>Alle Druckkosten</t>
        </r>
      </text>
    </comment>
    <comment ref="D21" authorId="0" shapeId="0" xr:uid="{D75900D8-3611-4E83-A0DA-A9ACA503162B}">
      <text>
        <r>
          <rPr>
            <b/>
            <sz val="9"/>
            <color indexed="81"/>
            <rFont val="Segoe UI"/>
            <family val="2"/>
          </rPr>
          <t>Auch: Beteiligung an Versandkosten für Sprachrohr-Beilagen, Non-Food, Kleinanschaffungen</t>
        </r>
      </text>
    </comment>
    <comment ref="D22" authorId="0" shapeId="0" xr:uid="{B1209701-2AE9-429F-B92C-94D52002F0EA}">
      <text>
        <r>
          <rPr>
            <b/>
            <sz val="9"/>
            <color indexed="81"/>
            <rFont val="Segoe UI"/>
            <family val="2"/>
          </rPr>
          <t>Rechtsangelegenheiten laufen über den AStA und erfordern eine Gegenzeichnung.</t>
        </r>
      </text>
    </comment>
    <comment ref="D32" authorId="0" shapeId="0" xr:uid="{28EEA1D3-1B49-4BBC-8658-BCE00945DAE4}">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46" authorId="0" shapeId="0" xr:uid="{95134994-76C5-45F9-A9A5-2D509DDBE932}">
      <text>
        <r>
          <rPr>
            <b/>
            <sz val="9"/>
            <color indexed="81"/>
            <rFont val="Segoe UI"/>
            <family val="2"/>
          </rPr>
          <t>Alle Maßnahmen, Tätigkeiten, Kleinanschaffungen, Exkursionen und Vergleichbares</t>
        </r>
      </text>
    </comment>
    <comment ref="U46" authorId="0" shapeId="0" xr:uid="{49F794EB-DE2B-4EDD-A643-0A69B31EC66E}">
      <text>
        <r>
          <rPr>
            <b/>
            <sz val="9"/>
            <color indexed="81"/>
            <rFont val="Segoe UI"/>
            <family val="2"/>
          </rPr>
          <t>Alle Maßnahmen, Tätigkeiten, Kleinanschaffungen, Exkursionen und Vergleichbares</t>
        </r>
      </text>
    </comment>
    <comment ref="D64" authorId="0" shapeId="0" xr:uid="{B27F462A-00D2-41C8-988C-A95C9A16507B}">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 ref="U64" authorId="0" shapeId="0" xr:uid="{D17DAE94-1028-42BE-920C-B8C411A6649F}">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fedde</author>
  </authors>
  <commentList>
    <comment ref="D5" authorId="0" shapeId="0" xr:uid="{6674F0EA-53F1-42F6-9894-C1AE40410BFE}">
      <text>
        <r>
          <rPr>
            <b/>
            <sz val="9"/>
            <color indexed="81"/>
            <rFont val="Segoe UI"/>
            <family val="2"/>
          </rPr>
          <t>Alle Teilnahmebeiträge für Fachseminare</t>
        </r>
      </text>
    </comment>
    <comment ref="D6" authorId="0" shapeId="0" xr:uid="{64713A74-719C-477F-B2E3-EF92D5A8FEF5}">
      <text>
        <r>
          <rPr>
            <b/>
            <sz val="9"/>
            <color indexed="81"/>
            <rFont val="Segoe UI"/>
            <family val="2"/>
          </rPr>
          <t>Fachschaftsexkursionen z.B., Workshop Großpuppenbau</t>
        </r>
      </text>
    </comment>
    <comment ref="D7" authorId="0" shapeId="0" xr:uid="{4F1A2B4E-CEEA-45C6-97C5-F0D32783822C}">
      <text>
        <r>
          <rPr>
            <b/>
            <sz val="9"/>
            <color indexed="81"/>
            <rFont val="Segoe UI"/>
            <family val="2"/>
          </rPr>
          <t>Einnahmen aus Bewirtungen nur als durchlaufende Posten, hier nur noch nicht abgerechnete Vorauszahlungen.</t>
        </r>
      </text>
    </comment>
    <comment ref="D10" authorId="0" shapeId="0" xr:uid="{6BFB423D-8E9A-4299-8DDF-E8F09B4E2B98}">
      <text>
        <r>
          <rPr>
            <b/>
            <sz val="9"/>
            <color indexed="81"/>
            <rFont val="Segoe UI"/>
            <family val="2"/>
          </rPr>
          <t>Feststehender Posten gem. Satzung</t>
        </r>
      </text>
    </comment>
    <comment ref="D12" authorId="0" shapeId="0" xr:uid="{4A587A56-CB01-4E4F-9673-08A379361D6E}">
      <text>
        <r>
          <rPr>
            <b/>
            <sz val="9"/>
            <color indexed="81"/>
            <rFont val="Segoe UI"/>
            <family val="2"/>
          </rPr>
          <t>Enthält alle FK und VP, die an FSR-Mitglieder und Ersatzmitglieder gezahlt werden.</t>
        </r>
      </text>
    </comment>
    <comment ref="D13" authorId="0" shapeId="0" xr:uid="{47FF08C9-6CD0-4C08-8D4F-54F346C7A713}">
      <text>
        <r>
          <rPr>
            <b/>
            <sz val="9"/>
            <color indexed="81"/>
            <rFont val="Segoe UI"/>
            <family val="2"/>
          </rPr>
          <t>Alle Raum. Und Unterkunftskosten für Interne. Bedient Sitzungen, Treffen, Reisen in Funktion u.ä.</t>
        </r>
      </text>
    </comment>
    <comment ref="D14" authorId="0" shapeId="0" xr:uid="{0DE3C08D-7BD1-4454-A71A-2049FDF08CE0}">
      <text>
        <r>
          <rPr>
            <b/>
            <sz val="9"/>
            <color indexed="81"/>
            <rFont val="Segoe UI"/>
            <family val="2"/>
          </rPr>
          <t>Nur "Food", nicht "Non-Food".
Repräsentation: Bspw. Fachschaftskleidung</t>
        </r>
      </text>
    </comment>
    <comment ref="D15" authorId="0" shapeId="0" xr:uid="{C3EA2B94-BF11-465A-A0AD-D0219D8D34E8}">
      <text>
        <r>
          <rPr>
            <b/>
            <sz val="9"/>
            <color indexed="81"/>
            <rFont val="Segoe UI"/>
            <family val="2"/>
          </rPr>
          <t>Hier nur die Honorare für Dozierende kostenpflichtiger Seminare für Studierende</t>
        </r>
      </text>
    </comment>
    <comment ref="D16" authorId="0" shapeId="0" xr:uid="{61EDA3EF-635B-473A-AD10-2DE10C67A3F4}">
      <text>
        <r>
          <rPr>
            <b/>
            <sz val="9"/>
            <color indexed="81"/>
            <rFont val="Segoe UI"/>
            <family val="2"/>
          </rPr>
          <t>Hier alle anderen Honorare für externe Dozierende. Z.B. kostenlose Seminare, Workshops, Vorträge...</t>
        </r>
      </text>
    </comment>
    <comment ref="D17" authorId="0" shapeId="0" xr:uid="{58235AFE-2F57-4CBB-B61E-18E98F1A6C22}">
      <text>
        <r>
          <rPr>
            <b/>
            <sz val="9"/>
            <color indexed="81"/>
            <rFont val="Segoe UI"/>
            <family val="2"/>
          </rPr>
          <t>Alle RK-Erstattungen an Externe. Meist Doz. Präsenzseminare und andere Dozierende.</t>
        </r>
      </text>
    </comment>
    <comment ref="D18" authorId="0" shapeId="0" xr:uid="{C36F89CB-9F4C-4045-AE31-642FDEA6A908}">
      <text>
        <r>
          <rPr>
            <b/>
            <sz val="9"/>
            <color indexed="81"/>
            <rFont val="Segoe UI"/>
            <family val="2"/>
          </rPr>
          <t>Kaffee und Kekse für Präsenzseminare.
Ein Kasten Bier.
Empfänge. Wiwi-Eule.</t>
        </r>
      </text>
    </comment>
    <comment ref="D19" authorId="0" shapeId="0" xr:uid="{4A90873C-3D9B-4ECD-A22C-9ABB766186D0}">
      <text>
        <r>
          <rPr>
            <b/>
            <sz val="9"/>
            <color indexed="81"/>
            <rFont val="Segoe UI"/>
            <family val="2"/>
          </rPr>
          <t>Unterkunft Doz., kostenpfl. Räume in der BHS oder anderswo.</t>
        </r>
      </text>
    </comment>
    <comment ref="D20" authorId="0" shapeId="0" xr:uid="{D54D04AC-0A24-42BE-BE19-2A35C223D9FE}">
      <text>
        <r>
          <rPr>
            <b/>
            <sz val="9"/>
            <color indexed="81"/>
            <rFont val="Segoe UI"/>
            <family val="2"/>
          </rPr>
          <t>Alle Druckkosten</t>
        </r>
      </text>
    </comment>
    <comment ref="D21" authorId="0" shapeId="0" xr:uid="{13748E14-0C83-4BFD-91EA-65450E9D3781}">
      <text>
        <r>
          <rPr>
            <b/>
            <sz val="9"/>
            <color indexed="81"/>
            <rFont val="Segoe UI"/>
            <family val="2"/>
          </rPr>
          <t>Auch: Beteiligung an Versandkosten für Sprachrohr-Beilagen, Non-Food, Kleinanschaffungen</t>
        </r>
      </text>
    </comment>
    <comment ref="D22" authorId="0" shapeId="0" xr:uid="{08F1C07C-C6AA-484F-9B23-505296C5B968}">
      <text>
        <r>
          <rPr>
            <b/>
            <sz val="9"/>
            <color indexed="81"/>
            <rFont val="Segoe UI"/>
            <family val="2"/>
          </rPr>
          <t>Rechtsangelegenheiten laufen über den AStA und erfordern eine Gegenzeichnung.</t>
        </r>
      </text>
    </comment>
    <comment ref="D32" authorId="0" shapeId="0" xr:uid="{3FF5884F-FC58-48E0-A913-DCB8BC4DC01E}">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50" authorId="0" shapeId="0" xr:uid="{BC3F4D05-0723-4151-BFEC-F6F06396C6B2}">
      <text>
        <r>
          <rPr>
            <b/>
            <sz val="9"/>
            <color indexed="81"/>
            <rFont val="Segoe UI"/>
            <family val="2"/>
          </rPr>
          <t>Alle Maßnahmen, Tätigkeiten, Kleinanschaffungen, Exkursionen und Vergleichbares</t>
        </r>
      </text>
    </comment>
    <comment ref="U50" authorId="0" shapeId="0" xr:uid="{5840217B-0ED8-4C7D-9DF9-C286F00999AA}">
      <text>
        <r>
          <rPr>
            <b/>
            <sz val="9"/>
            <color indexed="81"/>
            <rFont val="Segoe UI"/>
            <family val="2"/>
          </rPr>
          <t>Alle Maßnahmen, Tätigkeiten, Kleinanschaffungen, Exkursionen und Vergleichbares</t>
        </r>
      </text>
    </comment>
    <comment ref="D68" authorId="0" shapeId="0" xr:uid="{869ED61B-A640-4C13-B3F6-F8578F6B2DE2}">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 ref="U68" authorId="0" shapeId="0" xr:uid="{6AF2DA27-018D-47AB-88E2-AE0F387634D4}">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fedde</author>
  </authors>
  <commentList>
    <comment ref="D5" authorId="0" shapeId="0" xr:uid="{70004B97-47CA-40A0-9B90-035585663B53}">
      <text>
        <r>
          <rPr>
            <b/>
            <sz val="9"/>
            <color indexed="81"/>
            <rFont val="Segoe UI"/>
            <family val="2"/>
          </rPr>
          <t>Alle Teilnahmebeiträge für Fachseminare</t>
        </r>
      </text>
    </comment>
    <comment ref="D6" authorId="0" shapeId="0" xr:uid="{B0B9F95E-B1B1-4363-BB20-7168B1B90024}">
      <text>
        <r>
          <rPr>
            <b/>
            <sz val="9"/>
            <color indexed="81"/>
            <rFont val="Segoe UI"/>
            <family val="2"/>
          </rPr>
          <t>Fachschaftsexkursionen z.B., Workshop Großpuppenbau</t>
        </r>
      </text>
    </comment>
    <comment ref="D7" authorId="0" shapeId="0" xr:uid="{7BDAD568-B761-4006-BA77-8F5A005D9DD2}">
      <text>
        <r>
          <rPr>
            <b/>
            <sz val="9"/>
            <color indexed="81"/>
            <rFont val="Segoe UI"/>
            <family val="2"/>
          </rPr>
          <t>Einnahmen aus Bewirtungen nur als durchlaufende Posten, hier nur noch nicht abgerechnete Vorauszahlungen.</t>
        </r>
      </text>
    </comment>
    <comment ref="D10" authorId="0" shapeId="0" xr:uid="{DD6F4449-203F-4C68-BAD7-68152DA0E004}">
      <text>
        <r>
          <rPr>
            <b/>
            <sz val="9"/>
            <color indexed="81"/>
            <rFont val="Segoe UI"/>
            <family val="2"/>
          </rPr>
          <t>Feststehender Posten gem. Satzung</t>
        </r>
      </text>
    </comment>
    <comment ref="D12" authorId="0" shapeId="0" xr:uid="{A0B34738-97D6-4DB5-9CBA-C04242E4C177}">
      <text>
        <r>
          <rPr>
            <b/>
            <sz val="9"/>
            <color indexed="81"/>
            <rFont val="Segoe UI"/>
            <family val="2"/>
          </rPr>
          <t>Enthält alle FK und VP, die an FSR-Mitglieder und Ersatzmitglieder gezahlt werden.</t>
        </r>
      </text>
    </comment>
    <comment ref="D13" authorId="0" shapeId="0" xr:uid="{CE0DF080-1FE2-44A6-85B2-59EC9EE5E4F1}">
      <text>
        <r>
          <rPr>
            <b/>
            <sz val="9"/>
            <color indexed="81"/>
            <rFont val="Segoe UI"/>
            <family val="2"/>
          </rPr>
          <t>Alle Raum. Und Unterkunftskosten für Interne. Bedient Sitzungen, Treffen, Reisen in Funktion u.ä.</t>
        </r>
      </text>
    </comment>
    <comment ref="D14" authorId="0" shapeId="0" xr:uid="{C673D762-C55F-40FE-B968-8AE096230B1D}">
      <text>
        <r>
          <rPr>
            <b/>
            <sz val="9"/>
            <color indexed="81"/>
            <rFont val="Segoe UI"/>
            <family val="2"/>
          </rPr>
          <t>Nur "Food", nicht "Non-Food".
Repräsentation: Bspw. Fachschaftskleidung</t>
        </r>
      </text>
    </comment>
    <comment ref="D15" authorId="0" shapeId="0" xr:uid="{31581FD3-A268-4ECA-8158-3EB59FE857F4}">
      <text>
        <r>
          <rPr>
            <b/>
            <sz val="9"/>
            <color indexed="81"/>
            <rFont val="Segoe UI"/>
            <family val="2"/>
          </rPr>
          <t>Hier nur die Honorare für Dozierende kostenpflichtiger Seminare für Studierende</t>
        </r>
      </text>
    </comment>
    <comment ref="D16" authorId="0" shapeId="0" xr:uid="{E30540D1-3C08-4512-8D10-5C73FD866C1F}">
      <text>
        <r>
          <rPr>
            <b/>
            <sz val="9"/>
            <color indexed="81"/>
            <rFont val="Segoe UI"/>
            <family val="2"/>
          </rPr>
          <t>Hier alle anderen Honorare für externe Dozierende. Z.B. kostenlose Seminare, Workshops, Vorträge...</t>
        </r>
      </text>
    </comment>
    <comment ref="D17" authorId="0" shapeId="0" xr:uid="{6F6F4C17-4D9C-4E8D-8935-A4478C1C8C93}">
      <text>
        <r>
          <rPr>
            <b/>
            <sz val="9"/>
            <color indexed="81"/>
            <rFont val="Segoe UI"/>
            <family val="2"/>
          </rPr>
          <t>Alle RK-Erstattungen an Externe. Meist Doz. Präsenzseminare und andere Dozierende.</t>
        </r>
      </text>
    </comment>
    <comment ref="D18" authorId="0" shapeId="0" xr:uid="{6AC3A4DA-8711-4F4C-BC8E-A4C80E404E6D}">
      <text>
        <r>
          <rPr>
            <b/>
            <sz val="9"/>
            <color indexed="81"/>
            <rFont val="Segoe UI"/>
            <family val="2"/>
          </rPr>
          <t>Kaffee und Kekse für Präsenzseminare.
Ein Kasten Bier.
Empfänge. Wiwi-Eule.</t>
        </r>
      </text>
    </comment>
    <comment ref="D19" authorId="0" shapeId="0" xr:uid="{2DB4052B-F152-4B71-B887-2DF8600B1D1D}">
      <text>
        <r>
          <rPr>
            <b/>
            <sz val="9"/>
            <color indexed="81"/>
            <rFont val="Segoe UI"/>
            <family val="2"/>
          </rPr>
          <t>Unterkunft Doz., kostenpfl. Räume in der BHS oder anderswo.</t>
        </r>
      </text>
    </comment>
    <comment ref="D20" authorId="0" shapeId="0" xr:uid="{32836A8B-1A09-412C-8059-4A321E67CF3B}">
      <text>
        <r>
          <rPr>
            <b/>
            <sz val="9"/>
            <color indexed="81"/>
            <rFont val="Segoe UI"/>
            <family val="2"/>
          </rPr>
          <t>Alle Druckkosten</t>
        </r>
      </text>
    </comment>
    <comment ref="D21" authorId="0" shapeId="0" xr:uid="{A5A82A35-85C5-44DF-B333-00251A7708CC}">
      <text>
        <r>
          <rPr>
            <b/>
            <sz val="9"/>
            <color indexed="81"/>
            <rFont val="Segoe UI"/>
            <family val="2"/>
          </rPr>
          <t>Auch: Beteiligung an Versandkosten für Sprachrohr-Beilagen, Non-Food, Kleinanschaffungen</t>
        </r>
      </text>
    </comment>
    <comment ref="D22" authorId="0" shapeId="0" xr:uid="{8AAB3F9D-F637-4D79-A787-6EE1D08685DD}">
      <text>
        <r>
          <rPr>
            <b/>
            <sz val="9"/>
            <color indexed="81"/>
            <rFont val="Segoe UI"/>
            <family val="2"/>
          </rPr>
          <t>Rechtsangelegenheiten laufen über den AStA und erfordern eine Gegenzeichnung.</t>
        </r>
      </text>
    </comment>
    <comment ref="D32" authorId="0" shapeId="0" xr:uid="{15A6D683-6F3C-4302-89EF-8970310CB921}">
      <text>
        <r>
          <rPr>
            <b/>
            <sz val="9"/>
            <color indexed="81"/>
            <rFont val="Segoe UI"/>
            <family val="2"/>
          </rPr>
          <t>Honorare für Dozierende, Vorträge, Reisekosten Dozierende oder Vortragende. 
Sollen für Maßnahmen nach dem Maßnahmenplan oder für Sitzungen u.ä. externe Dozierende und Vortragende gebucht werden, so sind diese Kosten auch hier einzutragen.</t>
        </r>
      </text>
    </comment>
    <comment ref="D49" authorId="0" shapeId="0" xr:uid="{3B95584F-ADF4-46E9-9F77-E5BD5EA34FA2}">
      <text>
        <r>
          <rPr>
            <b/>
            <sz val="9"/>
            <color indexed="81"/>
            <rFont val="Segoe UI"/>
            <family val="2"/>
          </rPr>
          <t>Alle Maßnahmen, Tätigkeiten, Kleinanschaffungen, Exkursionen und Vergleichbares</t>
        </r>
      </text>
    </comment>
    <comment ref="U49" authorId="0" shapeId="0" xr:uid="{9DD53B06-1447-4578-843B-D7D17C39AA16}">
      <text>
        <r>
          <rPr>
            <b/>
            <sz val="9"/>
            <color indexed="81"/>
            <rFont val="Segoe UI"/>
            <family val="2"/>
          </rPr>
          <t>Alle Maßnahmen, Tätigkeiten, Kleinanschaffungen, Exkursionen und Vergleichbares</t>
        </r>
      </text>
    </comment>
    <comment ref="D67" authorId="0" shapeId="0" xr:uid="{0F99A33D-162B-4B7C-A65A-8E65D5F878EB}">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 ref="U67" authorId="0" shapeId="0" xr:uid="{A21229D6-9AA9-459B-8BA2-EB1BF4224270}">
      <text>
        <r>
          <rPr>
            <b/>
            <sz val="9"/>
            <color indexed="81"/>
            <rFont val="Segoe UI"/>
            <family val="2"/>
          </rPr>
          <t>Alle variablen Aufwandsentschädigungen, Fahrtkosten, R+U-Kosten, Bewirtung intern. 
Kosten für die Teilnahme von Funktionsträger*innen im Rahmen ihrer Funktion an anderen Sitzungen abgerechnet.
Kosten für Betreuung Präsenzseminare.
Aufwandsentschädigungen nach 17 III der Satzung.</t>
        </r>
      </text>
    </comment>
  </commentList>
</comments>
</file>

<file path=xl/sharedStrings.xml><?xml version="1.0" encoding="utf-8"?>
<sst xmlns="http://schemas.openxmlformats.org/spreadsheetml/2006/main" count="3894" uniqueCount="1366">
  <si>
    <t>Einnahmen der Studierendenschaft</t>
  </si>
  <si>
    <t>Titel</t>
  </si>
  <si>
    <t>Spalte1</t>
  </si>
  <si>
    <t>Titel alt</t>
  </si>
  <si>
    <t>Kontenbezeichnung</t>
  </si>
  <si>
    <t>SOLL HHJ 22-23</t>
  </si>
  <si>
    <t>SOLL HHJ 21-22</t>
  </si>
  <si>
    <t>IST HHJ 21-22</t>
  </si>
  <si>
    <t>IST</t>
  </si>
  <si>
    <t>Anmerkungen</t>
  </si>
  <si>
    <t>Nr.</t>
  </si>
  <si>
    <t>Plan 1</t>
  </si>
  <si>
    <t>Einnahmen AStA und Studierendenparlament</t>
  </si>
  <si>
    <t>111.00</t>
  </si>
  <si>
    <t>Studierendenschaftsbeiträge</t>
  </si>
  <si>
    <t>111.10</t>
  </si>
  <si>
    <t>Wintersemester</t>
  </si>
  <si>
    <t>111.20</t>
  </si>
  <si>
    <t>Sommersemester</t>
  </si>
  <si>
    <t>119.00</t>
  </si>
  <si>
    <t>Vermischte Einnahmen</t>
  </si>
  <si>
    <t>119.10</t>
  </si>
  <si>
    <t>125.10, 125.20</t>
  </si>
  <si>
    <t>Werbung und Anzeigen</t>
  </si>
  <si>
    <t>119.20</t>
  </si>
  <si>
    <t>Spenden</t>
  </si>
  <si>
    <t>119.30</t>
  </si>
  <si>
    <t>162.00</t>
  </si>
  <si>
    <t>Zinsen</t>
  </si>
  <si>
    <t>119.40</t>
  </si>
  <si>
    <t>119.22</t>
  </si>
  <si>
    <t>Sonstige</t>
  </si>
  <si>
    <t>129.00</t>
  </si>
  <si>
    <t>Teilnahmebeiträge</t>
  </si>
  <si>
    <t>129.10</t>
  </si>
  <si>
    <t>129.70 (x0,2)</t>
  </si>
  <si>
    <t>AStA Seminare</t>
  </si>
  <si>
    <t>129.20</t>
  </si>
  <si>
    <t>129.70 (x0,8), 129.80 (x0,25), 129.90 (x0,55)</t>
  </si>
  <si>
    <t>AStA-Veranstaltungen</t>
  </si>
  <si>
    <t>129.30</t>
  </si>
  <si>
    <t>n.a.</t>
  </si>
  <si>
    <t>Stupa-Veranstaltungen</t>
  </si>
  <si>
    <t>130.00</t>
  </si>
  <si>
    <t>Einnahmen aus Bewirtung</t>
  </si>
  <si>
    <t>130.10</t>
  </si>
  <si>
    <t>AStA</t>
  </si>
  <si>
    <t>130.20</t>
  </si>
  <si>
    <t>SP-Veranstaltungen</t>
  </si>
  <si>
    <t>140.00</t>
  </si>
  <si>
    <t>Einnahmen aus Förderungen und Kooperationen</t>
  </si>
  <si>
    <t>140.10</t>
  </si>
  <si>
    <t>129.80 (x0,75)</t>
  </si>
  <si>
    <t>Förderungen Inkl. U. Gleichstellung</t>
  </si>
  <si>
    <t>140.20</t>
  </si>
  <si>
    <t>129.90 (x0,45)</t>
  </si>
  <si>
    <t>Förderungen Hopo</t>
  </si>
  <si>
    <t>140.30</t>
  </si>
  <si>
    <t>Sonstige Förderungen und Kooperationen</t>
  </si>
  <si>
    <t>182.00</t>
  </si>
  <si>
    <t>Darlehensrückflüsse</t>
  </si>
  <si>
    <t>182.10</t>
  </si>
  <si>
    <t>Aus Darlehen</t>
  </si>
  <si>
    <t>182.20</t>
  </si>
  <si>
    <t>Aus Internationalisierungsdarlehen</t>
  </si>
  <si>
    <t>Plan 2</t>
  </si>
  <si>
    <t>Einnahmen Fachschaften</t>
  </si>
  <si>
    <t>210.00</t>
  </si>
  <si>
    <t>Teilnahmebeiträge Seminare Fachschaften</t>
  </si>
  <si>
    <t>210.10</t>
  </si>
  <si>
    <t>FSR WiWi</t>
  </si>
  <si>
    <t>210.20</t>
  </si>
  <si>
    <t>FSR KSW</t>
  </si>
  <si>
    <t>210.30</t>
  </si>
  <si>
    <t>129.60</t>
  </si>
  <si>
    <t>FSR PSY</t>
  </si>
  <si>
    <t>210.40</t>
  </si>
  <si>
    <t>129.40</t>
  </si>
  <si>
    <t>FSR ReWi</t>
  </si>
  <si>
    <t>210.50</t>
  </si>
  <si>
    <t>FSR M+I</t>
  </si>
  <si>
    <t>220.00</t>
  </si>
  <si>
    <t>Teilnahmebeiträge Veranstaltungen Fachschaften</t>
  </si>
  <si>
    <t>220.10</t>
  </si>
  <si>
    <t>220.20</t>
  </si>
  <si>
    <t>220.30</t>
  </si>
  <si>
    <t>220.40</t>
  </si>
  <si>
    <t>220.50</t>
  </si>
  <si>
    <t>230.00</t>
  </si>
  <si>
    <t>Sonstige (Werbung, Förderungen, Bewirtung)</t>
  </si>
  <si>
    <t>230.10</t>
  </si>
  <si>
    <t>230.20</t>
  </si>
  <si>
    <t>230.30</t>
  </si>
  <si>
    <t>230.40</t>
  </si>
  <si>
    <t>230.50</t>
  </si>
  <si>
    <t>Plan 3</t>
  </si>
  <si>
    <t>Rücklagen, Vorjahresvortrag, durchlaufende Gelder</t>
  </si>
  <si>
    <t>352.00</t>
  </si>
  <si>
    <t>Entnahmen aus der Rücklage</t>
  </si>
  <si>
    <t>352.10</t>
  </si>
  <si>
    <t>Allgemeine Rücklage</t>
  </si>
  <si>
    <t>352.20</t>
  </si>
  <si>
    <t>353.00</t>
  </si>
  <si>
    <t>Sonderrücklage Wahlen</t>
  </si>
  <si>
    <t>352.30</t>
  </si>
  <si>
    <t>Schwankungsrücklage Wahlen</t>
  </si>
  <si>
    <t>360.00</t>
  </si>
  <si>
    <t>Vorjahresvortrag</t>
  </si>
  <si>
    <t>360.10</t>
  </si>
  <si>
    <t>Überschuss Vorjahr</t>
  </si>
  <si>
    <t>360.20</t>
  </si>
  <si>
    <t>Sonstige Vorträge</t>
  </si>
  <si>
    <t>380.00</t>
  </si>
  <si>
    <t>Kautionen, Durchlaufende Gelder AStA</t>
  </si>
  <si>
    <t>382.10</t>
  </si>
  <si>
    <t>Kautionen Materialverleih</t>
  </si>
  <si>
    <t>382.20</t>
  </si>
  <si>
    <t>Vorverkaufseinnahmen Bewirtung</t>
  </si>
  <si>
    <t>Einnahmen Gesamt</t>
  </si>
  <si>
    <t>Ausgaben</t>
  </si>
  <si>
    <t>Plan 4</t>
  </si>
  <si>
    <t>Personalausgaben und Aufwandsentschädigungen</t>
  </si>
  <si>
    <t>412.00</t>
  </si>
  <si>
    <t>Aufwandsentschädigungen Studierendenvertretung</t>
  </si>
  <si>
    <t>412.10</t>
  </si>
  <si>
    <t>412.20</t>
  </si>
  <si>
    <t>412.30</t>
  </si>
  <si>
    <t>412.40</t>
  </si>
  <si>
    <t>AStA-Beauftragungen</t>
  </si>
  <si>
    <t>412.50</t>
  </si>
  <si>
    <t>412.40, 412.60, 536.10, 538.10, 550.10, 686.11</t>
  </si>
  <si>
    <t>AStA-Veranstaltungen, Gäste, Sonstige</t>
  </si>
  <si>
    <t>413.00</t>
  </si>
  <si>
    <t>Aufwandsentschädigungen Fachschaften</t>
  </si>
  <si>
    <t>413.10</t>
  </si>
  <si>
    <t>413.20</t>
  </si>
  <si>
    <t>413.21</t>
  </si>
  <si>
    <t>Variable AE FSR WiWi</t>
  </si>
  <si>
    <t>413.22</t>
  </si>
  <si>
    <t>686.41 (x0,13)</t>
  </si>
  <si>
    <t>Variable AE FSR KSW</t>
  </si>
  <si>
    <t>413.23</t>
  </si>
  <si>
    <t>686.51 (x0,2)</t>
  </si>
  <si>
    <t>Variable AE FSR PSY</t>
  </si>
  <si>
    <t>413.24</t>
  </si>
  <si>
    <t>686.61 (x0,67)</t>
  </si>
  <si>
    <t>Variable AE FSR ReWi</t>
  </si>
  <si>
    <t>413.25</t>
  </si>
  <si>
    <t>Variable AE FSR M+I</t>
  </si>
  <si>
    <t>413.30</t>
  </si>
  <si>
    <t>686.21</t>
  </si>
  <si>
    <t>FSRK</t>
  </si>
  <si>
    <t>425.00</t>
  </si>
  <si>
    <t>Beschäftigungen AStA</t>
  </si>
  <si>
    <t>425.10</t>
  </si>
  <si>
    <t>425.11</t>
  </si>
  <si>
    <t>Referate</t>
  </si>
  <si>
    <t>425.20</t>
  </si>
  <si>
    <t>Bundesknappschaft</t>
  </si>
  <si>
    <t>425.30</t>
  </si>
  <si>
    <t>425.12</t>
  </si>
  <si>
    <t>Sachkostenpauschale</t>
  </si>
  <si>
    <t>425.40</t>
  </si>
  <si>
    <t>425.14</t>
  </si>
  <si>
    <t>VBG Unfallversicherung AStA</t>
  </si>
  <si>
    <t>428.00</t>
  </si>
  <si>
    <t>Personalausgaben Angestellte</t>
  </si>
  <si>
    <t>428.10</t>
  </si>
  <si>
    <t>425.21, 427.10</t>
  </si>
  <si>
    <t>Gehälter Beschäftigte</t>
  </si>
  <si>
    <t>428.20</t>
  </si>
  <si>
    <t>425.22</t>
  </si>
  <si>
    <t>Steuern</t>
  </si>
  <si>
    <t>428.30</t>
  </si>
  <si>
    <t>425.23, 427.20</t>
  </si>
  <si>
    <t>AG-Anteil Sozialversicherung</t>
  </si>
  <si>
    <t>428.40</t>
  </si>
  <si>
    <t>425.24</t>
  </si>
  <si>
    <t>Betriebsrenten</t>
  </si>
  <si>
    <t>428.50</t>
  </si>
  <si>
    <t>425.26</t>
  </si>
  <si>
    <t>VBG Unfallversicherung Büro</t>
  </si>
  <si>
    <t>430.00</t>
  </si>
  <si>
    <t>Weiterbildung und Sonstige Kosten</t>
  </si>
  <si>
    <t>430.10</t>
  </si>
  <si>
    <t>525.10</t>
  </si>
  <si>
    <t>Angestellte</t>
  </si>
  <si>
    <t>430.20</t>
  </si>
  <si>
    <t>525.30</t>
  </si>
  <si>
    <t>430.30</t>
  </si>
  <si>
    <t>525.20</t>
  </si>
  <si>
    <t>Sonstige Stud.Vertr.</t>
  </si>
  <si>
    <t>430.40</t>
  </si>
  <si>
    <t>Sonstige Kosten Personal</t>
  </si>
  <si>
    <t>Plan 5</t>
  </si>
  <si>
    <t>Sach-, Allgemein- und Veranstaltungsausgaben</t>
  </si>
  <si>
    <t>511.00</t>
  </si>
  <si>
    <t>Geschäftsausgaben</t>
  </si>
  <si>
    <t>511.10</t>
  </si>
  <si>
    <t>511.12, 511.14, 517.21, 517.22</t>
  </si>
  <si>
    <t>Geschäftskosten allgemein, Versicherungen</t>
  </si>
  <si>
    <t>511.20</t>
  </si>
  <si>
    <t>Büromaterial</t>
  </si>
  <si>
    <t>511.30</t>
  </si>
  <si>
    <t>511.17</t>
  </si>
  <si>
    <t>Porto</t>
  </si>
  <si>
    <t>511.40</t>
  </si>
  <si>
    <t>511.11</t>
  </si>
  <si>
    <t>Geldverwaltung und Verwahrgebühren</t>
  </si>
  <si>
    <t>511.60</t>
  </si>
  <si>
    <t>511.41, 511.42</t>
  </si>
  <si>
    <t>Telekommunikation</t>
  </si>
  <si>
    <t>511.70</t>
  </si>
  <si>
    <t>511.44</t>
  </si>
  <si>
    <t>Lizenzen_Ges.</t>
  </si>
  <si>
    <t>511.80</t>
  </si>
  <si>
    <t>511.13, 511.16</t>
  </si>
  <si>
    <t>Publikationen, Bücher, Zeitschriften</t>
  </si>
  <si>
    <t>511.90</t>
  </si>
  <si>
    <t>511.61 (x0,4), 511.43</t>
  </si>
  <si>
    <t>IT-Mieten</t>
  </si>
  <si>
    <t>512.00</t>
  </si>
  <si>
    <t>Anschaffungen, Reparaturen, Renovierungen</t>
  </si>
  <si>
    <t>512.10</t>
  </si>
  <si>
    <t>511.52, 511.53</t>
  </si>
  <si>
    <t>Neuanschaffungen allgemein</t>
  </si>
  <si>
    <t>512.20</t>
  </si>
  <si>
    <t>511.51</t>
  </si>
  <si>
    <t>Neuanschaffungen EDV und Telekommunikation</t>
  </si>
  <si>
    <t>512.40</t>
  </si>
  <si>
    <t>511.62</t>
  </si>
  <si>
    <t>Renovierungen und Instandhaltung</t>
  </si>
  <si>
    <t>527.00</t>
  </si>
  <si>
    <t>Reisekosten intern</t>
  </si>
  <si>
    <t>527.10</t>
  </si>
  <si>
    <t>527.61, 527.62</t>
  </si>
  <si>
    <t>Funktion Unigremien</t>
  </si>
  <si>
    <t>527.20</t>
  </si>
  <si>
    <t>527.21, 527.24, 527.27</t>
  </si>
  <si>
    <t>527.30</t>
  </si>
  <si>
    <t>527.31, 527.51, 527.54, 533.20, 536.11, 538.11, 550.11, 686.12</t>
  </si>
  <si>
    <t>FK und VP AStA-Referate und Gäste</t>
  </si>
  <si>
    <t>527.40</t>
  </si>
  <si>
    <t>Fahrtkosten u. Verpflegungspausch. Fachschaften</t>
  </si>
  <si>
    <t>527.41</t>
  </si>
  <si>
    <t>686.32</t>
  </si>
  <si>
    <t>527.42</t>
  </si>
  <si>
    <t>686.42</t>
  </si>
  <si>
    <t>527.43</t>
  </si>
  <si>
    <t>686.52</t>
  </si>
  <si>
    <t>527.44</t>
  </si>
  <si>
    <t>686.62</t>
  </si>
  <si>
    <t>527.45</t>
  </si>
  <si>
    <t>686.72</t>
  </si>
  <si>
    <t>527.50</t>
  </si>
  <si>
    <t>686.22</t>
  </si>
  <si>
    <t>Fachschaftsrätekonferenz</t>
  </si>
  <si>
    <t>529.00</t>
  </si>
  <si>
    <t>Raum- und Unterkunftskosten intern</t>
  </si>
  <si>
    <t>529.10</t>
  </si>
  <si>
    <t>529.20</t>
  </si>
  <si>
    <t>527.22, 527.23, 527.25, 527.26,527.28, 527.29</t>
  </si>
  <si>
    <t>Studierendenparlament und Ausschüsse</t>
  </si>
  <si>
    <t>529.30</t>
  </si>
  <si>
    <t>527.32, 527.33, 527.52, 527.53, 527.55, 527.56, 550.13, 686.14</t>
  </si>
  <si>
    <t>AStA-Referate und Gäste</t>
  </si>
  <si>
    <t>529.40</t>
  </si>
  <si>
    <t>Raum- und Unterkunftskosten Fachschaften</t>
  </si>
  <si>
    <t>529.41</t>
  </si>
  <si>
    <t>686.34</t>
  </si>
  <si>
    <t>WiWi</t>
  </si>
  <si>
    <t>529.42</t>
  </si>
  <si>
    <t>686.44</t>
  </si>
  <si>
    <t>KSW</t>
  </si>
  <si>
    <t>529.43</t>
  </si>
  <si>
    <t>686.54</t>
  </si>
  <si>
    <t>PSY</t>
  </si>
  <si>
    <t>529.44</t>
  </si>
  <si>
    <t>686.64</t>
  </si>
  <si>
    <t>ReWi</t>
  </si>
  <si>
    <t>529.45</t>
  </si>
  <si>
    <t>686.74</t>
  </si>
  <si>
    <t>M+I</t>
  </si>
  <si>
    <t>529.50</t>
  </si>
  <si>
    <t>686.24</t>
  </si>
  <si>
    <t>531.00</t>
  </si>
  <si>
    <t>Bewirtungs- und Repräsentationskosten Intern</t>
  </si>
  <si>
    <t>531.10</t>
  </si>
  <si>
    <t>531.20</t>
  </si>
  <si>
    <t>AStA-Referate + Gäste</t>
  </si>
  <si>
    <t>531.30</t>
  </si>
  <si>
    <t>Sonstige (Kleinigkeiten in der AStA-Küche, Getränke)</t>
  </si>
  <si>
    <t>531.40</t>
  </si>
  <si>
    <t>Bewirtung und Repräsentation Fachschaften</t>
  </si>
  <si>
    <t>531.41</t>
  </si>
  <si>
    <t>686.35</t>
  </si>
  <si>
    <t>531.42</t>
  </si>
  <si>
    <t>686.45</t>
  </si>
  <si>
    <t>531.43</t>
  </si>
  <si>
    <t>686.55</t>
  </si>
  <si>
    <t>531.44</t>
  </si>
  <si>
    <t>686.65</t>
  </si>
  <si>
    <t>531.45</t>
  </si>
  <si>
    <t>686.75</t>
  </si>
  <si>
    <t>531.50</t>
  </si>
  <si>
    <t>686.25</t>
  </si>
  <si>
    <t>540.00</t>
  </si>
  <si>
    <t>Sprachrohr</t>
  </si>
  <si>
    <t>540.10</t>
  </si>
  <si>
    <t>Druckkosten Sprachrohr</t>
  </si>
  <si>
    <t>540.20</t>
  </si>
  <si>
    <t>Versandkosten Sprachrohr</t>
  </si>
  <si>
    <t>540.30</t>
  </si>
  <si>
    <t>Satz und Lektorat</t>
  </si>
  <si>
    <t>540.60</t>
  </si>
  <si>
    <t>Sonstige Kosten</t>
  </si>
  <si>
    <t>550.00</t>
  </si>
  <si>
    <t>Veranstaltungen, Maßnahmen und Seminare AStA-Referate</t>
  </si>
  <si>
    <t>550.10</t>
  </si>
  <si>
    <t>536.12, 538.12, 550.12 (je x0,1)</t>
  </si>
  <si>
    <t>Honorare Dozierende Fachseminare</t>
  </si>
  <si>
    <t>550.20</t>
  </si>
  <si>
    <t>536.12, 538.12, 550.12 (je x0,7)</t>
  </si>
  <si>
    <t>Andere Honorare</t>
  </si>
  <si>
    <t>550.30</t>
  </si>
  <si>
    <t>536.12, 538.12, 550.12 (je x0,2)</t>
  </si>
  <si>
    <t>Externe Reisekosten</t>
  </si>
  <si>
    <t>550.40</t>
  </si>
  <si>
    <t>532.10, 532.20, 532.30, 533.30, 536.15, 538.15, 550.14, 539.00</t>
  </si>
  <si>
    <t>Bewirtung und Repräsentation</t>
  </si>
  <si>
    <t>550.50</t>
  </si>
  <si>
    <t>533.10, 536.13, 536.14, 538.13, 538.14, 550.15</t>
  </si>
  <si>
    <t>Raum und Unterkunftskosten</t>
  </si>
  <si>
    <t>550.60</t>
  </si>
  <si>
    <t>Druckkosten</t>
  </si>
  <si>
    <t>550.70</t>
  </si>
  <si>
    <t>533.40, 550.16, 546.00</t>
  </si>
  <si>
    <t>551.00</t>
  </si>
  <si>
    <t>Veranstaltungen, Maßnahmen und Seminare Fachschaften</t>
  </si>
  <si>
    <t>551.10</t>
  </si>
  <si>
    <t>551.11</t>
  </si>
  <si>
    <t>686.33 (x0,7)</t>
  </si>
  <si>
    <t>551.12</t>
  </si>
  <si>
    <t>686.43 (x0,7)</t>
  </si>
  <si>
    <t>551.13</t>
  </si>
  <si>
    <t>686.53 (x0,7)</t>
  </si>
  <si>
    <t>551.14</t>
  </si>
  <si>
    <t>686.63 (x0,7)</t>
  </si>
  <si>
    <t>551.15</t>
  </si>
  <si>
    <t>686.73 (x0,7)</t>
  </si>
  <si>
    <t>551.20</t>
  </si>
  <si>
    <t>551.21</t>
  </si>
  <si>
    <t>686.33 (x0,15)</t>
  </si>
  <si>
    <t>551.22</t>
  </si>
  <si>
    <t>686.43 (x0,15)</t>
  </si>
  <si>
    <t>551.23</t>
  </si>
  <si>
    <t>686.53 (x0,15)</t>
  </si>
  <si>
    <t>551.24</t>
  </si>
  <si>
    <t>686.63 (x0,15)</t>
  </si>
  <si>
    <t>551.25</t>
  </si>
  <si>
    <t>686.73 (x0,15)</t>
  </si>
  <si>
    <t>551.30</t>
  </si>
  <si>
    <t>551.31</t>
  </si>
  <si>
    <t>551.32</t>
  </si>
  <si>
    <t>551.33</t>
  </si>
  <si>
    <t>551.34</t>
  </si>
  <si>
    <t>551.35</t>
  </si>
  <si>
    <t>551.40</t>
  </si>
  <si>
    <t>Bewirtung und Repräsentation extern</t>
  </si>
  <si>
    <t>551.41</t>
  </si>
  <si>
    <t>686.37</t>
  </si>
  <si>
    <t>551.42</t>
  </si>
  <si>
    <t>686.47</t>
  </si>
  <si>
    <t>551.43</t>
  </si>
  <si>
    <t>686.57</t>
  </si>
  <si>
    <t>551.44</t>
  </si>
  <si>
    <t>686.67</t>
  </si>
  <si>
    <t>551.55</t>
  </si>
  <si>
    <t>686.77</t>
  </si>
  <si>
    <t>551.50</t>
  </si>
  <si>
    <t>Raum- und Unterkunftskosten extern</t>
  </si>
  <si>
    <t>551.51</t>
  </si>
  <si>
    <t>686.36</t>
  </si>
  <si>
    <t>551.52</t>
  </si>
  <si>
    <t>686.46</t>
  </si>
  <si>
    <t>551.53</t>
  </si>
  <si>
    <t>686.56</t>
  </si>
  <si>
    <t>551.54</t>
  </si>
  <si>
    <t>686.66</t>
  </si>
  <si>
    <t>686.76</t>
  </si>
  <si>
    <t>551.60</t>
  </si>
  <si>
    <t>551.61</t>
  </si>
  <si>
    <t>686.38 (x0,1)</t>
  </si>
  <si>
    <t>551.62</t>
  </si>
  <si>
    <t>686.48 (x0,1)</t>
  </si>
  <si>
    <t>551.63</t>
  </si>
  <si>
    <t>686.58 (x0,1)</t>
  </si>
  <si>
    <t>551.64</t>
  </si>
  <si>
    <t>686.68 (x0,1)</t>
  </si>
  <si>
    <t>551.65</t>
  </si>
  <si>
    <t>686.78 (x0,1)</t>
  </si>
  <si>
    <t>551.70</t>
  </si>
  <si>
    <t>Sonstige Kosten (Lizenzen, Allg. Geschäftsbetrieb)</t>
  </si>
  <si>
    <t>551.71</t>
  </si>
  <si>
    <t>686.38 (x0,9)</t>
  </si>
  <si>
    <t>551.72</t>
  </si>
  <si>
    <t>686.48 (x0,9)</t>
  </si>
  <si>
    <t>551.73</t>
  </si>
  <si>
    <t>686.58 (x0,9)</t>
  </si>
  <si>
    <t>551.74</t>
  </si>
  <si>
    <t>686.68 (x0,9)</t>
  </si>
  <si>
    <t>551.75</t>
  </si>
  <si>
    <t>686.78 (x0,9)</t>
  </si>
  <si>
    <t>560.00</t>
  </si>
  <si>
    <t>Leistungen durch Dritte und Kooperationen</t>
  </si>
  <si>
    <t>560.10</t>
  </si>
  <si>
    <t>526.20</t>
  </si>
  <si>
    <t>Lohnbuchführung</t>
  </si>
  <si>
    <t>560.20</t>
  </si>
  <si>
    <t>526.30</t>
  </si>
  <si>
    <t>Beratungen (Supervision Büro z.B.)</t>
  </si>
  <si>
    <t>560.30</t>
  </si>
  <si>
    <t>511.61 (x0,6), 511.63</t>
  </si>
  <si>
    <t>IT-Dienstleistungen</t>
  </si>
  <si>
    <t>560.40</t>
  </si>
  <si>
    <t>Sonstige Leistungen durch Dritte</t>
  </si>
  <si>
    <t>560.50</t>
  </si>
  <si>
    <t>526.10, 550.17</t>
  </si>
  <si>
    <t>Rechtsanwaltskosten AStA/Stupa</t>
  </si>
  <si>
    <t>560.60</t>
  </si>
  <si>
    <t>Prozesskosten und Gebühren AStA/Stupa</t>
  </si>
  <si>
    <t>560.70</t>
  </si>
  <si>
    <t>686.39, 686.49, 686.59, 686.69, 686.79</t>
  </si>
  <si>
    <t>Rechtskosten Fachschaften</t>
  </si>
  <si>
    <t>560.80</t>
  </si>
  <si>
    <t>Rechtsberatung Studierende</t>
  </si>
  <si>
    <t>580.00</t>
  </si>
  <si>
    <t>Wahlen und Studierendenbefragungen</t>
  </si>
  <si>
    <t>580.10</t>
  </si>
  <si>
    <t>535.11</t>
  </si>
  <si>
    <t>AE fest Wahlen</t>
  </si>
  <si>
    <t>580.20</t>
  </si>
  <si>
    <t>535.12</t>
  </si>
  <si>
    <t>AE variabel Wahlen</t>
  </si>
  <si>
    <t>580.30</t>
  </si>
  <si>
    <t>535.21</t>
  </si>
  <si>
    <t>Fahrtkosten und Verpflegungspauschale Wahlen</t>
  </si>
  <si>
    <t>580.40</t>
  </si>
  <si>
    <t>535.22</t>
  </si>
  <si>
    <t>Raum- und Unterkunftskosten Wahlen</t>
  </si>
  <si>
    <t>580.50</t>
  </si>
  <si>
    <t>535.53 (x0,995)</t>
  </si>
  <si>
    <t>Wahltools und Sonstige Kosten</t>
  </si>
  <si>
    <t>580.60</t>
  </si>
  <si>
    <t>535.52</t>
  </si>
  <si>
    <t>Wahlrohr Druck</t>
  </si>
  <si>
    <t>580.70</t>
  </si>
  <si>
    <t>535.51</t>
  </si>
  <si>
    <t>Wahlrohr Versand</t>
  </si>
  <si>
    <t>580.80</t>
  </si>
  <si>
    <t>535.54</t>
  </si>
  <si>
    <t>Wahlunterlagen Druck</t>
  </si>
  <si>
    <t>580.90</t>
  </si>
  <si>
    <t>535.53 (x0,005)</t>
  </si>
  <si>
    <t>Wahlunterlagen Versand</t>
  </si>
  <si>
    <t>Plan 6</t>
  </si>
  <si>
    <t>Zuschüsse, Mitgliedschaften, BHS</t>
  </si>
  <si>
    <t>681.00</t>
  </si>
  <si>
    <t>Zuschüsse</t>
  </si>
  <si>
    <t>681.10</t>
  </si>
  <si>
    <t>Zuschüsse für studentische Aktivitäten (neu!)</t>
  </si>
  <si>
    <t>681.20</t>
  </si>
  <si>
    <t>Besondere Fachschaftsaktivitäten (neu!)</t>
  </si>
  <si>
    <t>681.30</t>
  </si>
  <si>
    <t>686.81</t>
  </si>
  <si>
    <t>Honorare Lerngruppen</t>
  </si>
  <si>
    <t>681.40</t>
  </si>
  <si>
    <t>686.82</t>
  </si>
  <si>
    <t>Honorare Veranstaltungen Campus</t>
  </si>
  <si>
    <t>681.50</t>
  </si>
  <si>
    <t>686.83</t>
  </si>
  <si>
    <t>Bewirtung und Repräsentation Campus</t>
  </si>
  <si>
    <t>681.60</t>
  </si>
  <si>
    <t>686.13</t>
  </si>
  <si>
    <t>Allg. Betrieb Interessengruppen</t>
  </si>
  <si>
    <t>681.70</t>
  </si>
  <si>
    <t>686.16</t>
  </si>
  <si>
    <t>Rechtsangelegenheiten Interessengruppen</t>
  </si>
  <si>
    <t>681.80</t>
  </si>
  <si>
    <t>686.84</t>
  </si>
  <si>
    <t>685 00</t>
  </si>
  <si>
    <t>Vereins- und Verbandsmitgliedschaften</t>
  </si>
  <si>
    <t>685.10</t>
  </si>
  <si>
    <t>686.17</t>
  </si>
  <si>
    <t>LAT NRW</t>
  </si>
  <si>
    <t>685.20</t>
  </si>
  <si>
    <t>686.18</t>
  </si>
  <si>
    <t>DJH, DAAD</t>
  </si>
  <si>
    <t>690.00</t>
  </si>
  <si>
    <t>BHS-GmbH</t>
  </si>
  <si>
    <t>Ausgleich negativer Cashflow</t>
  </si>
  <si>
    <t>Maßnahmen BHS</t>
  </si>
  <si>
    <t>Plan 8</t>
  </si>
  <si>
    <t>Darlehen</t>
  </si>
  <si>
    <t>860.00</t>
  </si>
  <si>
    <t>Studierende</t>
  </si>
  <si>
    <t>860.10</t>
  </si>
  <si>
    <t>Allgemeine Darlehen</t>
  </si>
  <si>
    <t>860.20</t>
  </si>
  <si>
    <t>861.00</t>
  </si>
  <si>
    <t>Internationalisierungsdarlehen</t>
  </si>
  <si>
    <t>Plan 9</t>
  </si>
  <si>
    <t>Rücklagen</t>
  </si>
  <si>
    <t>919 00</t>
  </si>
  <si>
    <t>Zuführung zu Rücklagen</t>
  </si>
  <si>
    <t>919.10</t>
  </si>
  <si>
    <t>910.00</t>
  </si>
  <si>
    <t>919.20</t>
  </si>
  <si>
    <t>920.00</t>
  </si>
  <si>
    <t>919.30</t>
  </si>
  <si>
    <t>930.00</t>
  </si>
  <si>
    <t>Sonstige Rücklagen</t>
  </si>
  <si>
    <t>Ausgaben Gesamt</t>
  </si>
  <si>
    <t>Bilanz</t>
  </si>
  <si>
    <t>Geldvermögen</t>
  </si>
  <si>
    <t>SOLL 30. Sept. 2022</t>
  </si>
  <si>
    <t>Giroguthaben Commerzbank</t>
  </si>
  <si>
    <t>Barkasse</t>
  </si>
  <si>
    <t>Noch nicht abgerechnete Vorschüsse</t>
  </si>
  <si>
    <t>SUMME Geldvermögen</t>
  </si>
  <si>
    <t>Aufteilung Geldvermögen</t>
  </si>
  <si>
    <t>Kassenbestand (Einnahmen - Ausgaben)</t>
  </si>
  <si>
    <t>Rücklage AStA Innovative Projekte</t>
  </si>
  <si>
    <t>Sonderrücklagen</t>
  </si>
  <si>
    <t>SUMME Aufteilung Geldvermögen</t>
  </si>
  <si>
    <t>Verfügbare Mittel</t>
  </si>
  <si>
    <t>./. Betriebsmittelrücklage (§ 12 Abs. 2 HWVO)
 -  5 % Studierendenschaftsbeiträge</t>
  </si>
  <si>
    <t>= freie Mittel</t>
  </si>
  <si>
    <t>./. Rücklage für Wahlen
(Ansatz: 18 % Studierendenschaftsbeiträge)
abzgl. Rücklage Wahlen</t>
  </si>
  <si>
    <t>= ungebundene Mittel</t>
  </si>
  <si>
    <t>HHJ 21-22</t>
  </si>
  <si>
    <t>HHJ 22-23</t>
  </si>
  <si>
    <t>Empfänger</t>
  </si>
  <si>
    <t>Art</t>
  </si>
  <si>
    <t>Höhe p.A.</t>
  </si>
  <si>
    <t>Stupa-Vorsitz</t>
  </si>
  <si>
    <t>fest</t>
  </si>
  <si>
    <t>HHA-Vorsitz</t>
  </si>
  <si>
    <t>AG-Sprecher</t>
  </si>
  <si>
    <t>Gesamt fest</t>
  </si>
  <si>
    <t>Fachschaftsräte</t>
  </si>
  <si>
    <t>pro Fachschaft</t>
  </si>
  <si>
    <t>Vorsitz Stupa</t>
  </si>
  <si>
    <t>variabel</t>
  </si>
  <si>
    <t>Mitglieder Stupa</t>
  </si>
  <si>
    <t>Vorsitz Ausschüsse</t>
  </si>
  <si>
    <t>Mitglieder Ausschüsse</t>
  </si>
  <si>
    <t>Vorsitz Agen</t>
  </si>
  <si>
    <t>Mitglieder Agen</t>
  </si>
  <si>
    <t>Gesamt variabel</t>
  </si>
  <si>
    <t>Ergebnis</t>
  </si>
  <si>
    <t>Datengrundlage:</t>
  </si>
  <si>
    <t>FS var</t>
  </si>
  <si>
    <t>Muster</t>
  </si>
  <si>
    <t>AE</t>
  </si>
  <si>
    <t>Anzahl</t>
  </si>
  <si>
    <t>Gesamt:</t>
  </si>
  <si>
    <t>SP-Sitzung Präsenz (22.08.2020)</t>
  </si>
  <si>
    <t>Online:</t>
  </si>
  <si>
    <t>Freie Mittel (bspw. Sondersitzungen, mehr Präsenz)</t>
  </si>
  <si>
    <t>HHA Präsenz:</t>
  </si>
  <si>
    <t>Kassenprüfung:</t>
  </si>
  <si>
    <t>Freie Mittel:</t>
  </si>
  <si>
    <t>FSR-Sitzung Präsenz</t>
  </si>
  <si>
    <t>Gehälter Büro netto</t>
  </si>
  <si>
    <t>Sozialversicherung</t>
  </si>
  <si>
    <t>Mieten, Wartung und Lizenzen</t>
  </si>
  <si>
    <t>Mieten HHJ 22-23</t>
  </si>
  <si>
    <t>Vertrag Nr.</t>
  </si>
  <si>
    <t>Vertragsinhalt</t>
  </si>
  <si>
    <t>Vertragspartner</t>
  </si>
  <si>
    <t>Beträge/Budget</t>
  </si>
  <si>
    <t>Laufzeit</t>
  </si>
  <si>
    <t>Webspace mit Domains</t>
  </si>
  <si>
    <t>Neue Medien Münnich</t>
  </si>
  <si>
    <t>Mail Business</t>
  </si>
  <si>
    <t>1&amp;1 IONOS</t>
  </si>
  <si>
    <t>Hardwaremieten</t>
  </si>
  <si>
    <t>edvXpert</t>
  </si>
  <si>
    <t>Frei</t>
  </si>
  <si>
    <t>Gesamt</t>
  </si>
  <si>
    <t>Lizenzen HHJ 22-23</t>
  </si>
  <si>
    <t>Lizenz-Nr.</t>
  </si>
  <si>
    <t>Lizenzinhalt</t>
  </si>
  <si>
    <t>Lizenzgeber</t>
  </si>
  <si>
    <t>Microsoft 365</t>
  </si>
  <si>
    <t>Virenschutz</t>
  </si>
  <si>
    <t>Adobe Creative Cloud 2x &amp; InDesign 1x</t>
  </si>
  <si>
    <t>CCP Software</t>
  </si>
  <si>
    <t>Zoom Meetings Pro 3x</t>
  </si>
  <si>
    <t>Zoom Communications</t>
  </si>
  <si>
    <t>Adobe Connect 1x</t>
  </si>
  <si>
    <t>Reflact AG</t>
  </si>
  <si>
    <t>Freies Budget</t>
  </si>
  <si>
    <t>Anschaffungsplan HHJ 22-23</t>
  </si>
  <si>
    <t>Anschaffungsplan HHJ 21-22</t>
  </si>
  <si>
    <t>Neuanschaffungen Allgemein</t>
  </si>
  <si>
    <t>Betrag</t>
  </si>
  <si>
    <t>Was?</t>
  </si>
  <si>
    <t>Begründung</t>
  </si>
  <si>
    <t>Büromöbel</t>
  </si>
  <si>
    <t>Austausch von Stühlen notwendig</t>
  </si>
  <si>
    <t>Kamera-Lesesystem</t>
  </si>
  <si>
    <t>Inklusion</t>
  </si>
  <si>
    <t>Freie Mittel</t>
  </si>
  <si>
    <t>Neuanschaffungen EDV</t>
  </si>
  <si>
    <t>Gesicherte Dienstlaptops</t>
  </si>
  <si>
    <t xml:space="preserve">ggf. aufgrund von Datenschutzanforderungen </t>
  </si>
  <si>
    <t>Gesicherte Diensthandys</t>
  </si>
  <si>
    <t>Kleinmaßnahmen</t>
  </si>
  <si>
    <t>Anschaffungen und Maßnahmen BHS</t>
  </si>
  <si>
    <t>Rücklagenbildung BHS</t>
  </si>
  <si>
    <t>Verschönerungs- und bauliche Kleinmaßnahmen</t>
  </si>
  <si>
    <t>Wünschenswert</t>
  </si>
  <si>
    <t>Reparatur Aufzug</t>
  </si>
  <si>
    <t>Referatspläne Gesamt</t>
  </si>
  <si>
    <t>Honorare Dozierende</t>
  </si>
  <si>
    <t>Interne Reisekosten</t>
  </si>
  <si>
    <t>Bewirtung/Repräsentation int.</t>
  </si>
  <si>
    <t>Bewirtung/Repräsentation ext.</t>
  </si>
  <si>
    <t>Raum- und Unterkunftskosten int.</t>
  </si>
  <si>
    <t>Raum- und Unterkunftskosten ext.</t>
  </si>
  <si>
    <t>Sonstige Ausgaben</t>
  </si>
  <si>
    <t>Teilnahmebeiträge Seminare</t>
  </si>
  <si>
    <t>Teilnahmebeiträge Veranstaltungen</t>
  </si>
  <si>
    <t>Bewirtung Veranst.</t>
  </si>
  <si>
    <t>Förderungen</t>
  </si>
  <si>
    <t>Kalkulation</t>
  </si>
  <si>
    <t>Referatspläne Im Einzelnen</t>
  </si>
  <si>
    <t xml:space="preserve">Titel:  </t>
  </si>
  <si>
    <t>Referat</t>
  </si>
  <si>
    <t>Vorstand und Digitalisierung</t>
  </si>
  <si>
    <t>Frei:</t>
  </si>
  <si>
    <t>Teilsumme:</t>
  </si>
  <si>
    <t>Büro und Internationales</t>
  </si>
  <si>
    <t>Maßnahme 1: Teilnahme EADTU in irgendwo, 2 Personen, TN-Beitrag 400 €</t>
  </si>
  <si>
    <t>Maßnahme 2: Umsetzung von Vorschlägen aus Datenschutzaudit</t>
  </si>
  <si>
    <t>Inklusion, Gleichstellung und Hochschulsport</t>
  </si>
  <si>
    <t>Maßnahme 1: Jahrestagung Inklusion</t>
  </si>
  <si>
    <t>Einsatz Gebärdendolmetschung/Schriftdolmetschung</t>
  </si>
  <si>
    <t>barrierefreies SprachRohr</t>
  </si>
  <si>
    <t>Kinderbetreuung</t>
  </si>
  <si>
    <t>Seminarreihe Wiss. Arbeiten m. WORD für Frauen</t>
  </si>
  <si>
    <t>Hochschulsport</t>
  </si>
  <si>
    <t>Tagung Informationsstelle Studium und Behinderung (Deutsches Studentenwerk)</t>
  </si>
  <si>
    <t>Tagung Fortbildung (Inklusion)</t>
  </si>
  <si>
    <t>Tagung und Fortbildung Gleichstellung</t>
  </si>
  <si>
    <t>Finanzen</t>
  </si>
  <si>
    <t>Rechtsangelegenheiten</t>
  </si>
  <si>
    <t>Hochschulpolitik</t>
  </si>
  <si>
    <t>Betreuung JVA und ÖA Print (Sprachrohr)</t>
  </si>
  <si>
    <t>Referat ÖA Homepage</t>
  </si>
  <si>
    <t>Referat für Lerngruppenförderung</t>
  </si>
  <si>
    <t>Referat für ÖA Social Media</t>
  </si>
  <si>
    <t>Materialien Öffentlichkeitsarbeit</t>
  </si>
  <si>
    <t>Referat für Lebenslanges Lernen</t>
  </si>
  <si>
    <t>Referat für Studium und Betreuung</t>
  </si>
  <si>
    <t>Freie Mittel allgemein, u.a. Anreisen zu Bürotätigkeit und Sitzungen:</t>
  </si>
  <si>
    <t>Honorare Doz. Lerngruppen</t>
  </si>
  <si>
    <t>Honorare Seminare Campus</t>
  </si>
  <si>
    <t>(Titel 681.30)</t>
  </si>
  <si>
    <t>(Titel 681.40)</t>
  </si>
  <si>
    <t>(Titel 681.50)</t>
  </si>
  <si>
    <t>Budget Lerngruppen WiSe gem. Anlage</t>
  </si>
  <si>
    <t>Budget Lerngruppen SoSe gem. Anlage</t>
  </si>
  <si>
    <t>Teilergebnis:</t>
  </si>
  <si>
    <t>Budget Seminare WiSe gem. Anlage</t>
  </si>
  <si>
    <t>Budget Start-It-Ups WiSe</t>
  </si>
  <si>
    <t>Budget Seminare SoSe gem. Anlage</t>
  </si>
  <si>
    <t>Budget Start-it-Ups SoSe</t>
  </si>
  <si>
    <t xml:space="preserve">Gesamt:  </t>
  </si>
  <si>
    <t>Leistungen Dritter</t>
  </si>
  <si>
    <t>Vertragsinhalt*</t>
  </si>
  <si>
    <t>* ggf. weitere Ausführungen</t>
  </si>
  <si>
    <t>WETAX</t>
  </si>
  <si>
    <t>IT-Wartungspakete</t>
  </si>
  <si>
    <t>IT-Wartung Personalkosten</t>
  </si>
  <si>
    <t>Drucker Vollservice</t>
  </si>
  <si>
    <t>Kesper</t>
  </si>
  <si>
    <t>Seminarverwaltung</t>
  </si>
  <si>
    <t>Wundercoach</t>
  </si>
  <si>
    <t>HHJ 22-23 - Leistungen Dritter</t>
  </si>
  <si>
    <t>Allgemeine Rechtsberatung Studierende</t>
  </si>
  <si>
    <t>n.N</t>
  </si>
  <si>
    <t>1 Jahr</t>
  </si>
  <si>
    <t>Beratungen zum Haushalt</t>
  </si>
  <si>
    <t>n.N.</t>
  </si>
  <si>
    <t>HHJ 22-23 - IT-Dienstleistungen</t>
  </si>
  <si>
    <t>zzgl. AStA-Referate</t>
  </si>
  <si>
    <t>Diverse</t>
  </si>
  <si>
    <t>Haushaltplan der Fachschaft WiWi</t>
  </si>
  <si>
    <t>-</t>
  </si>
  <si>
    <t>Erläuterung</t>
  </si>
  <si>
    <t>Freie Eingabe Plan HHJ 22-23</t>
  </si>
  <si>
    <t>Rechnung HHJ 22-23</t>
  </si>
  <si>
    <t>Freie Eingabe Plan HHJ 21-22</t>
  </si>
  <si>
    <t>Abschluss 20-21</t>
  </si>
  <si>
    <t>Plan HHJ 20-21</t>
  </si>
  <si>
    <t>Einnahmen</t>
  </si>
  <si>
    <t>Sonstige Einnahmen (Vorauszahlungen Bewirtung, Werbung, …)</t>
  </si>
  <si>
    <t>AE fest (800 € monatlich)</t>
  </si>
  <si>
    <t>AE variabel</t>
  </si>
  <si>
    <t>527 41</t>
  </si>
  <si>
    <t>Fahrtkosten und Verpflegungspauschalen</t>
  </si>
  <si>
    <t>Raum- und Unterkunftskosten</t>
  </si>
  <si>
    <t>Bewirtung und Repräsentation intern</t>
  </si>
  <si>
    <t>Honorare Fachseminare</t>
  </si>
  <si>
    <t>Ext. Reisekosten</t>
  </si>
  <si>
    <t>Raum- und Unterkunftskosten Seminare und Veranst.</t>
  </si>
  <si>
    <t>Bilanz:</t>
  </si>
  <si>
    <t>Deckungsfähigkeiten: Die Ausgaben der Fachschaft sind untereineinander teilweise deckungsfähig.</t>
  </si>
  <si>
    <t xml:space="preserve">Einnahmen über Plan verstärken Gegentitel. Mittel aus den Konten 551.11 bis 551.51 dürfen nicht  zur </t>
  </si>
  <si>
    <t>Deckung von anderen Konten verwendet werden: Keine Verschiebung vom Seminarbetrieb zum Verwaltungsbetrieb.</t>
  </si>
  <si>
    <t>Kommentar beachten!</t>
  </si>
  <si>
    <t>Lfd. Nr.</t>
  </si>
  <si>
    <t>Beschreibung/ Kurzbezeichnung</t>
  </si>
  <si>
    <t>Teilnahmebeiträge Fachseminare</t>
  </si>
  <si>
    <t>Sonstige Einnahmen</t>
  </si>
  <si>
    <t>Repräsentation/Bewirtung extern</t>
  </si>
  <si>
    <t>Raum + Unterkunft extern</t>
  </si>
  <si>
    <t>Maßnahmenplan (vorwiegend intern)</t>
  </si>
  <si>
    <t>Beschreibung</t>
  </si>
  <si>
    <t>Aufwandsentschädigungen</t>
  </si>
  <si>
    <t>Raum + Unterkunft intern</t>
  </si>
  <si>
    <t>Repräsentation/Bewirtung intern</t>
  </si>
  <si>
    <t>Zoom-Lizenz</t>
  </si>
  <si>
    <t>WiWi-Eulen-Verleihung</t>
  </si>
  <si>
    <t>WiWi-Broschüre Nachbearbeitung</t>
  </si>
  <si>
    <t>Bufak (3 Mitglieder, 2x im HHJ)</t>
  </si>
  <si>
    <t>AE-Plan, Reisekosten (Intern)</t>
  </si>
  <si>
    <t xml:space="preserve">Lfd. Nr. </t>
  </si>
  <si>
    <t>Sitzung/Tätigkeit</t>
  </si>
  <si>
    <t>Ort oder Datum (falls bekannt)</t>
  </si>
  <si>
    <t>Fachschaftsratsitzung</t>
  </si>
  <si>
    <t>Hagen</t>
  </si>
  <si>
    <t>Hybrid</t>
  </si>
  <si>
    <t>Auswärtige Fachschaftsratsitzung</t>
  </si>
  <si>
    <t>Regionalzentrum</t>
  </si>
  <si>
    <t>Präsenz</t>
  </si>
  <si>
    <t>*Gesamt je zzgl. Maßnahmenplan!</t>
  </si>
  <si>
    <t>Allg.</t>
  </si>
  <si>
    <t>Haushaltplan der Fachschaft KSW</t>
  </si>
  <si>
    <t>Freie Eingabe Plan 22-23</t>
  </si>
  <si>
    <t>Fachschaftsrat</t>
  </si>
  <si>
    <t>Online</t>
  </si>
  <si>
    <t>Bundesfachschaftstagung 1</t>
  </si>
  <si>
    <t>Bundesfachschaftstagung 2</t>
  </si>
  <si>
    <t>Haushaltplan der Fachschaft Psychologie</t>
  </si>
  <si>
    <t>Lizenzkosten</t>
  </si>
  <si>
    <t>Arbeitsgruppe Evaluation Lehrpreis, 2 Sitzungen, 5 Teilnehmer*innen intern</t>
  </si>
  <si>
    <t>PsyFaKo mit Vorbereitungstreffen</t>
  </si>
  <si>
    <t>Haushaltplan der Fachschaft Rechtswissenschaft</t>
  </si>
  <si>
    <t>Rechtliche Beratung</t>
  </si>
  <si>
    <t>Bundesfachschaftstagung</t>
  </si>
  <si>
    <t>Haushaltplan der Fachschaft M+I</t>
  </si>
  <si>
    <t>Lizenzen</t>
  </si>
  <si>
    <t>Neue Fachschaftshomepage</t>
  </si>
  <si>
    <t>ggf. rechtliche Beratung</t>
  </si>
  <si>
    <t>BuFaK</t>
  </si>
  <si>
    <t>HHJ</t>
  </si>
  <si>
    <t>Nachtrags-HH</t>
  </si>
  <si>
    <t>2020 / 2021</t>
  </si>
  <si>
    <t>2020/2021</t>
  </si>
  <si>
    <t>2021 / 2022</t>
  </si>
  <si>
    <t>Neu</t>
  </si>
  <si>
    <t>Soll</t>
  </si>
  <si>
    <t>Stand</t>
  </si>
  <si>
    <t>Titelbezeichnung</t>
  </si>
  <si>
    <t>SP-Beschluss 10.10.20</t>
  </si>
  <si>
    <t>SP-Beschluss 26.06.21</t>
  </si>
  <si>
    <t>SP-Beschluss 04.09.21</t>
  </si>
  <si>
    <t>31.09.2022</t>
  </si>
  <si>
    <t>119.2</t>
  </si>
  <si>
    <t>119.21</t>
  </si>
  <si>
    <t>Spende</t>
  </si>
  <si>
    <t>sonst. Einnahmen</t>
  </si>
  <si>
    <t>125.10</t>
  </si>
  <si>
    <t>Einnahmen aus kommerz. Anzeigen</t>
  </si>
  <si>
    <t>125.20</t>
  </si>
  <si>
    <t>Einnahmen aus kommerz.Anz.Web+and.</t>
  </si>
  <si>
    <t>129.0</t>
  </si>
  <si>
    <t xml:space="preserve">Einnahmen aus Veranstaltungen </t>
  </si>
  <si>
    <t>Einnahmen aus Veranst. FSR  WiWi</t>
  </si>
  <si>
    <t>Einnahmen aus Veranst. FSR KSW</t>
  </si>
  <si>
    <t>Einnahmen aus Veranst. FSR M+I</t>
  </si>
  <si>
    <t>Einnahmen aus Veranst.  FSR ReWi</t>
  </si>
  <si>
    <t>129.50</t>
  </si>
  <si>
    <t>Einnahmen aus Veranst.Interessengruppen</t>
  </si>
  <si>
    <t>Einnahmen aus Veranst.  FSR Pych</t>
  </si>
  <si>
    <t>129.70</t>
  </si>
  <si>
    <t>Einnahmen aus sonst.AStA-Veranst.</t>
  </si>
  <si>
    <t>129.80</t>
  </si>
  <si>
    <t>Einnahmen aus Veranst.Inklusion+Gleichst.</t>
  </si>
  <si>
    <t>129.90</t>
  </si>
  <si>
    <t>Einnahmen aus Veranst. Hopo</t>
  </si>
  <si>
    <t>Zinsen privatrechtll.Unternehmen</t>
  </si>
  <si>
    <t>Darlehensrückflüsse Studierende</t>
  </si>
  <si>
    <t>SUMME PLAN 1</t>
  </si>
  <si>
    <t>341.00</t>
  </si>
  <si>
    <t>Entnahme aus der Allg. Rücklage</t>
  </si>
  <si>
    <t>Entnahme aus der Sonderrücklage</t>
  </si>
  <si>
    <t>Überschuss des Vorjahres</t>
  </si>
  <si>
    <t>SUMME PLAN 3</t>
  </si>
  <si>
    <t>SUMME Einnahmen</t>
  </si>
  <si>
    <t xml:space="preserve">Sachkostenpauschale AStA  </t>
  </si>
  <si>
    <t xml:space="preserve">Aufwandsentsch. SP </t>
  </si>
  <si>
    <t>AE Mitglieder FernUni - Gremien</t>
  </si>
  <si>
    <t>Aufwandsentsch. AStA-Gäste</t>
  </si>
  <si>
    <t>Aufwandsentsch. SP - Ausschüsse</t>
  </si>
  <si>
    <t>412.60</t>
  </si>
  <si>
    <t>Aufwandsentsch. AStA-PG</t>
  </si>
  <si>
    <t>425.0</t>
  </si>
  <si>
    <t>Personalkosten + AStA-Referate</t>
  </si>
  <si>
    <t>425.1</t>
  </si>
  <si>
    <t>Bezüge AStA-Referate</t>
  </si>
  <si>
    <t>Vergütung AStA-Referate</t>
  </si>
  <si>
    <t>Beiträge Bundesknappschaft</t>
  </si>
  <si>
    <t>425.13</t>
  </si>
  <si>
    <t>sonst. Erstatt. AStA Referate</t>
  </si>
  <si>
    <t>425.2</t>
  </si>
  <si>
    <t>Personalkosten Büro</t>
  </si>
  <si>
    <t>425.21</t>
  </si>
  <si>
    <t>Lohnsteuer/Steuerabzüge Personal</t>
  </si>
  <si>
    <t>425.23</t>
  </si>
  <si>
    <t>Zusatzversorgung VBL</t>
  </si>
  <si>
    <t>425.25</t>
  </si>
  <si>
    <t>sonst. Erstatt. Personal</t>
  </si>
  <si>
    <t>427.0</t>
  </si>
  <si>
    <t>Geringfügig Beschäftigte</t>
  </si>
  <si>
    <t>427.10</t>
  </si>
  <si>
    <t>Gehalt geringf.Beschäftigte</t>
  </si>
  <si>
    <t>427.20</t>
  </si>
  <si>
    <t>Verfügungsmittel Personalrat</t>
  </si>
  <si>
    <t>SUMME PLAN 4</t>
  </si>
  <si>
    <t>511.0</t>
  </si>
  <si>
    <t>Allgem. Geschäftsbedarf</t>
  </si>
  <si>
    <t>Bürobedarf</t>
  </si>
  <si>
    <t>Kontoführung</t>
  </si>
  <si>
    <t>511.12</t>
  </si>
  <si>
    <t>GEZ</t>
  </si>
  <si>
    <t>511.13</t>
  </si>
  <si>
    <t>Publikationen</t>
  </si>
  <si>
    <t>511.14</t>
  </si>
  <si>
    <t>sonst. Geschäftsbedarf</t>
  </si>
  <si>
    <t>511.15</t>
  </si>
  <si>
    <t>534.00</t>
  </si>
  <si>
    <t>Verbrauchsmat.Kopierer+Drucker</t>
  </si>
  <si>
    <t>511.16</t>
  </si>
  <si>
    <t>Bücher, Zeitschriften</t>
  </si>
  <si>
    <t>Briefporto</t>
  </si>
  <si>
    <t>511.4</t>
  </si>
  <si>
    <t>Geschäftsbedarf IT/Telefon</t>
  </si>
  <si>
    <t>511.41</t>
  </si>
  <si>
    <t>Telefongebühren</t>
  </si>
  <si>
    <t>511.42</t>
  </si>
  <si>
    <t>Internet</t>
  </si>
  <si>
    <t>511.43</t>
  </si>
  <si>
    <t>Hosting</t>
  </si>
  <si>
    <t>Sonstiges</t>
  </si>
  <si>
    <t>511.5</t>
  </si>
  <si>
    <t>Geräte,Ausstattung,Ausrüstung</t>
  </si>
  <si>
    <t>IT</t>
  </si>
  <si>
    <t>511.52</t>
  </si>
  <si>
    <t>Büroausstattung/Büromöbel</t>
  </si>
  <si>
    <t>511.53</t>
  </si>
  <si>
    <t>sonstige Ausstattung</t>
  </si>
  <si>
    <t>511.6</t>
  </si>
  <si>
    <t>EDV-Arbeiten / externe Dienstleist.</t>
  </si>
  <si>
    <t>511.61</t>
  </si>
  <si>
    <r>
      <t xml:space="preserve">IT + </t>
    </r>
    <r>
      <rPr>
        <b/>
        <sz val="11"/>
        <color rgb="FFFF0000"/>
        <rFont val="Calibri"/>
        <family val="2"/>
        <scheme val="minor"/>
      </rPr>
      <t>IT-Miete</t>
    </r>
  </si>
  <si>
    <t>Kleinreparaturen u.Instandhalt.</t>
  </si>
  <si>
    <t>511.63</t>
  </si>
  <si>
    <t>sonst. Dienstleistungen</t>
  </si>
  <si>
    <t>517.2</t>
  </si>
  <si>
    <t>Ausgaben für Versicherung</t>
  </si>
  <si>
    <t>517.21</t>
  </si>
  <si>
    <t>Allianz Vers. Betriebshaftpflicht</t>
  </si>
  <si>
    <t>517.22</t>
  </si>
  <si>
    <t>sonst. Versicherungen</t>
  </si>
  <si>
    <t>525.0</t>
  </si>
  <si>
    <t>Qualifizierungsmaßnahmen</t>
  </si>
  <si>
    <t>Qualifizierung Büro</t>
  </si>
  <si>
    <t>Qualifizierung Stupa, Ausschüsse</t>
  </si>
  <si>
    <t>Qualifizierung AStA</t>
  </si>
  <si>
    <t>526.0</t>
  </si>
  <si>
    <t>Rechtsstreitigkeiten+ext.Beratungen</t>
  </si>
  <si>
    <t>526.10</t>
  </si>
  <si>
    <t>Rechtsanwalts-,Verfahrens- u.Gerichtskosten</t>
  </si>
  <si>
    <t>Steuerberatung u.Lohnbuchführung</t>
  </si>
  <si>
    <t>sonst. Beratungen</t>
  </si>
  <si>
    <t>527.0</t>
  </si>
  <si>
    <t>Reisekosten</t>
  </si>
  <si>
    <t>527.1</t>
  </si>
  <si>
    <t>Reisekosten AStA-Büro</t>
  </si>
  <si>
    <t>527.11</t>
  </si>
  <si>
    <t>Fahrtkosten+Verpf. AStA-Büro</t>
  </si>
  <si>
    <t>527.12</t>
  </si>
  <si>
    <t>Raumkosten+sonst. Kosten AStA-Büro</t>
  </si>
  <si>
    <t>527.13</t>
  </si>
  <si>
    <t>Unterkunftskosten AStA-Büro</t>
  </si>
  <si>
    <t>527.2</t>
  </si>
  <si>
    <t>Reisekosten SP+Ausschüsse+Sonstige</t>
  </si>
  <si>
    <t>527.21</t>
  </si>
  <si>
    <t>Fahrtkost.+Verpfl. SP</t>
  </si>
  <si>
    <t>527.22</t>
  </si>
  <si>
    <t>Raumkosten + sonst. Kosten SP</t>
  </si>
  <si>
    <t>527.23</t>
  </si>
  <si>
    <t>Unterkunftskosten SP</t>
  </si>
  <si>
    <t>527.24</t>
  </si>
  <si>
    <t>Fahrtk.+Verpfl. SP Ausschüsse</t>
  </si>
  <si>
    <t>527.25</t>
  </si>
  <si>
    <t>Raumkosten+Sonst.Kosten SP Ausschüsse</t>
  </si>
  <si>
    <t>527.26</t>
  </si>
  <si>
    <t>Unterkunftskosten SP Ausschüsse</t>
  </si>
  <si>
    <t>527.27</t>
  </si>
  <si>
    <t>FK+Verpfl. SP AT + Sonstige</t>
  </si>
  <si>
    <t>527.28</t>
  </si>
  <si>
    <t>Raumkosten+sonst.Kosten SP AT + Sonstige</t>
  </si>
  <si>
    <t>527.29</t>
  </si>
  <si>
    <t>Unterkunftskosten SP AT + Sonstige</t>
  </si>
  <si>
    <t>527.3</t>
  </si>
  <si>
    <t>Reiskosten AStA</t>
  </si>
  <si>
    <t>527.31</t>
  </si>
  <si>
    <t>Fahrtk.+Verpfl. AStA</t>
  </si>
  <si>
    <t>527.32</t>
  </si>
  <si>
    <t>Raumkosten AStA</t>
  </si>
  <si>
    <t>527.33</t>
  </si>
  <si>
    <t>Unterkunftskosten AStA Referate</t>
  </si>
  <si>
    <t>527.5</t>
  </si>
  <si>
    <t>Reisekosten AStA-Gäste + PG + Sonstige</t>
  </si>
  <si>
    <t>527.51</t>
  </si>
  <si>
    <t>Fahrtk.+Verpfl. AStA-Gäste</t>
  </si>
  <si>
    <t>527.52</t>
  </si>
  <si>
    <t>Raum- u. sonst.Kosten AStA-Gäste</t>
  </si>
  <si>
    <t>527.53</t>
  </si>
  <si>
    <t>Unterkunftskosten AStA-Gäste</t>
  </si>
  <si>
    <t>527.54</t>
  </si>
  <si>
    <t>Fahrtk.+Verpfl. AStA PG</t>
  </si>
  <si>
    <t>527.55</t>
  </si>
  <si>
    <t>Raum-+sonst.Kosten AStA PG</t>
  </si>
  <si>
    <t>527.56</t>
  </si>
  <si>
    <t>Unterkunftskosten ASTA PG</t>
  </si>
  <si>
    <t>527.6</t>
  </si>
  <si>
    <t>Reisekosten Unigremien + Sonstige</t>
  </si>
  <si>
    <t>527.61</t>
  </si>
  <si>
    <t>RK Funktion Unigremium</t>
  </si>
  <si>
    <t>527.62</t>
  </si>
  <si>
    <t>RK Sonstige</t>
  </si>
  <si>
    <t>529.0</t>
  </si>
  <si>
    <t>Bewirtungskosten</t>
  </si>
  <si>
    <t>Bewirtung AStA</t>
  </si>
  <si>
    <t>Bewirtung SP</t>
  </si>
  <si>
    <t>Bewirtung Sonstige</t>
  </si>
  <si>
    <t>SprachRohr, and. Publikationen</t>
  </si>
  <si>
    <t>Druckkosten SprRohr</t>
  </si>
  <si>
    <t>Versandkosten SprRohr</t>
  </si>
  <si>
    <t>Satzkosten SprRohr</t>
  </si>
  <si>
    <t>sonst. Kosten SprRohr</t>
  </si>
  <si>
    <t>532.0</t>
  </si>
  <si>
    <t>Ö-Arbeit, Web</t>
  </si>
  <si>
    <t>532.10</t>
  </si>
  <si>
    <t>532.20</t>
  </si>
  <si>
    <t>532.30</t>
  </si>
  <si>
    <t>Webseite</t>
  </si>
  <si>
    <t>533.0</t>
  </si>
  <si>
    <t>Auslandsbeziehungen</t>
  </si>
  <si>
    <t>533.10</t>
  </si>
  <si>
    <t>Hotelkosten Ausland</t>
  </si>
  <si>
    <t>533.20</t>
  </si>
  <si>
    <t>Reisekosten Ausland</t>
  </si>
  <si>
    <t>533.30</t>
  </si>
  <si>
    <t>Teilnahmebeiträge Ausland</t>
  </si>
  <si>
    <t>533.40</t>
  </si>
  <si>
    <t>sonst. Kosten Ausland</t>
  </si>
  <si>
    <t>Ausgaben für Fotokopierservice -alt-</t>
  </si>
  <si>
    <t>535.0</t>
  </si>
  <si>
    <t>Auslagen für Wahlen</t>
  </si>
  <si>
    <t>535.1</t>
  </si>
  <si>
    <t>Aufwandsentschäd. für Wahlen</t>
  </si>
  <si>
    <t>535.2</t>
  </si>
  <si>
    <t>Reisekosten Wahlen</t>
  </si>
  <si>
    <t>Fahrtk. + Verpfl. Wahlen</t>
  </si>
  <si>
    <t>Raum- u. sonst. Kosten Wahlen</t>
  </si>
  <si>
    <t>535.23</t>
  </si>
  <si>
    <t>Unterkunftskosten Wahlen</t>
  </si>
  <si>
    <t>535.5</t>
  </si>
  <si>
    <t>WahlRohr + Wahlunterlagen</t>
  </si>
  <si>
    <t>WahlRohr Versand</t>
  </si>
  <si>
    <t>WahlRohr Druck</t>
  </si>
  <si>
    <t>535.53</t>
  </si>
  <si>
    <t>536.0</t>
  </si>
  <si>
    <t xml:space="preserve">Durchführung von AStA Veranst. </t>
  </si>
  <si>
    <t>536.10</t>
  </si>
  <si>
    <t xml:space="preserve">Aufwandsentsch. AStA Veranst. </t>
  </si>
  <si>
    <t>536.11</t>
  </si>
  <si>
    <t>Fahrtk. + Verpfl. AStA Veranst.</t>
  </si>
  <si>
    <t>536.12</t>
  </si>
  <si>
    <t>Honorare  AStA Veranst. + RK Dozenten</t>
  </si>
  <si>
    <t>536.13</t>
  </si>
  <si>
    <t>Raum- u. sonst. Kosten AStA Veranst.</t>
  </si>
  <si>
    <t>536.14</t>
  </si>
  <si>
    <t>Unterkunftskosten AStA Veranst.</t>
  </si>
  <si>
    <t>536.15</t>
  </si>
  <si>
    <t>Bewirtungskosten AStA Veranst.</t>
  </si>
  <si>
    <t>---</t>
  </si>
  <si>
    <t>Zuschuss Bildungsherberge gGmbH</t>
  </si>
  <si>
    <t>538.0</t>
  </si>
  <si>
    <t>Veranstaltungen Hopo</t>
  </si>
  <si>
    <t>538.10</t>
  </si>
  <si>
    <t>Aufwandsentsch. Hopo</t>
  </si>
  <si>
    <t>538.11</t>
  </si>
  <si>
    <t>Fahrtk. + Verpfl. Hopo</t>
  </si>
  <si>
    <t>538.12</t>
  </si>
  <si>
    <t>Honorare Hopo</t>
  </si>
  <si>
    <t>538.13</t>
  </si>
  <si>
    <t>Raumkosten + sonst. Kosten Hopo</t>
  </si>
  <si>
    <t>538.14</t>
  </si>
  <si>
    <t>Unterkunftskosten Hopo</t>
  </si>
  <si>
    <t>538.15</t>
  </si>
  <si>
    <t>Bewirtungskosten Hopo</t>
  </si>
  <si>
    <t>539.00</t>
  </si>
  <si>
    <t>Verfügungsmittel Personalrat -alt-</t>
  </si>
  <si>
    <t>546.00</t>
  </si>
  <si>
    <t>vermischte Ausgaben</t>
  </si>
  <si>
    <t>550.0</t>
  </si>
  <si>
    <t>Inklusion u. Gleichstellung</t>
  </si>
  <si>
    <t>AE Inkl. u. Gleichstellung</t>
  </si>
  <si>
    <t>550.11</t>
  </si>
  <si>
    <t>Fahrtk.+Verpfl. Inkl.u.Gleichst.</t>
  </si>
  <si>
    <t>550.12</t>
  </si>
  <si>
    <t>Honorare u. RK Doz.+Teiln. Inkl.+Gleichst.</t>
  </si>
  <si>
    <t>550.13</t>
  </si>
  <si>
    <t>Raum-u.Unterk.Sitzungen+Veranst. I+G</t>
  </si>
  <si>
    <t>550.14</t>
  </si>
  <si>
    <t>Bewirtungskosten Sitz./Sem./Veranst. I+G</t>
  </si>
  <si>
    <t>550.15</t>
  </si>
  <si>
    <t>Raumk. Sem. u.Unterk. Doz.+Teiln. I+G</t>
  </si>
  <si>
    <t>550.16</t>
  </si>
  <si>
    <t>sonstige Kosten + Anschaffungen I+G</t>
  </si>
  <si>
    <t>550.17</t>
  </si>
  <si>
    <t>Rechtsangelegenheiten I+G</t>
  </si>
  <si>
    <t>Anschaffungen</t>
  </si>
  <si>
    <t>Ladestation E-Auto</t>
  </si>
  <si>
    <t>Videokonferenzraum</t>
  </si>
  <si>
    <t>SUMME PLAN 5</t>
  </si>
  <si>
    <t>686.0</t>
  </si>
  <si>
    <t>Zuweisung an Dritte u. FS, FSR-Konferenz</t>
  </si>
  <si>
    <t>686.1</t>
  </si>
  <si>
    <t>Unterstützung v. Interessengruppen</t>
  </si>
  <si>
    <t>686.11</t>
  </si>
  <si>
    <t>AE Unterstützung v. Interessengruppen</t>
  </si>
  <si>
    <t>686.12</t>
  </si>
  <si>
    <t>Fahrtk. + Verpfl. Unterst.IG</t>
  </si>
  <si>
    <t>Zuwendungen f. Allg.betrieb Unterst.IG</t>
  </si>
  <si>
    <t>686.14</t>
  </si>
  <si>
    <t>Raum- u. Unterkunftskosten Unterst. IG</t>
  </si>
  <si>
    <t>686.15</t>
  </si>
  <si>
    <t>Bewirtung Unterst. IG</t>
  </si>
  <si>
    <t>Zuwend. Rechtsangelegenh. Unterst. IG</t>
  </si>
  <si>
    <t>Mitgliedsbeiträge LAT</t>
  </si>
  <si>
    <t>Mitgliedsbeiträge DJHW</t>
  </si>
  <si>
    <t>686.2</t>
  </si>
  <si>
    <t>Zuweisung an FSR-Konferenzen</t>
  </si>
  <si>
    <t>Aufwandsentschädigungen FSR-K.</t>
  </si>
  <si>
    <t>Fahrtk.+Verpfl. FSR-Konferenz</t>
  </si>
  <si>
    <t>686.23</t>
  </si>
  <si>
    <t>Honorare FSR-Konf.+RK Dozenten</t>
  </si>
  <si>
    <t>Raum- u. Unterkunftskosten FSR-Konf.</t>
  </si>
  <si>
    <t>Bewirtung FSR-Konf.</t>
  </si>
  <si>
    <t>686.26</t>
  </si>
  <si>
    <t>sonstige Kosten FSR-Konf.</t>
  </si>
  <si>
    <t>686.3</t>
  </si>
  <si>
    <t>Zuweisung an Fachschaft WiWi</t>
  </si>
  <si>
    <t>686.31</t>
  </si>
  <si>
    <t>AE FS WiWi</t>
  </si>
  <si>
    <t>Fahrtk.+Verpfl. FS WiWi</t>
  </si>
  <si>
    <t>686.33</t>
  </si>
  <si>
    <t>Honorare und RK Doz. FS WiWi</t>
  </si>
  <si>
    <t>Raum- u. Unterk.f. Sitz.+Veranst.FS WiWi</t>
  </si>
  <si>
    <t>Bewirtungsk.f. Sitz./Veranst. FS WiWi</t>
  </si>
  <si>
    <t>Raumk. Sem. + Unterk. Doz.+Teiln. FS WiWi</t>
  </si>
  <si>
    <t>Bewirtungsk. Seminare FS WiWi</t>
  </si>
  <si>
    <t>686.38</t>
  </si>
  <si>
    <t>Sonst. Kosten +  Anschaff. FS WiWi</t>
  </si>
  <si>
    <t>686.39</t>
  </si>
  <si>
    <t>Rechtsangelegenheiten FS WiWi</t>
  </si>
  <si>
    <t>686.4</t>
  </si>
  <si>
    <t>Zuweisung an Fachschaft KSW</t>
  </si>
  <si>
    <t>686.41</t>
  </si>
  <si>
    <t>AE FS KSW</t>
  </si>
  <si>
    <t>Fahrtk.+Verpfl. FS KSW</t>
  </si>
  <si>
    <t>686.43</t>
  </si>
  <si>
    <t>Honorare und RK Doz. FS KSW</t>
  </si>
  <si>
    <t>Raum- u. Unterk.f. Sitz.+Veranst.FS KSW</t>
  </si>
  <si>
    <t>Bewirtungsk.f. Sitz./Veranst. FS KSW</t>
  </si>
  <si>
    <t>Raumk. Sem. + Unterk. Doz.+Teiln. FS KSW</t>
  </si>
  <si>
    <t>Bewirtungsk. Seminare FS KSW</t>
  </si>
  <si>
    <t>686.48</t>
  </si>
  <si>
    <t>Sonst. Kosten +  Anschaff. FS KSW</t>
  </si>
  <si>
    <t>686.49</t>
  </si>
  <si>
    <t>Rechtsangelegenheiten FS KSW</t>
  </si>
  <si>
    <t>686.5</t>
  </si>
  <si>
    <t>Zuweisung FS-Psychologie</t>
  </si>
  <si>
    <t>686.51</t>
  </si>
  <si>
    <t>AE FS Psych</t>
  </si>
  <si>
    <t>Fahrtk.+Verpfl. FS Psych</t>
  </si>
  <si>
    <t>686.53</t>
  </si>
  <si>
    <t>Honorare und RK Doz. FS Psych</t>
  </si>
  <si>
    <t>Raum- u. Unterk.f. Sitz.+Veranst.FS Psych</t>
  </si>
  <si>
    <t>Bewirtungsk.f. Sitz./Veranst. FS Psych</t>
  </si>
  <si>
    <t>Raumk. Sem. + Unterk. Doz.+Teiln. FS Psych</t>
  </si>
  <si>
    <t>Bewirtungsk. Seminare FS Psych</t>
  </si>
  <si>
    <t>686.58</t>
  </si>
  <si>
    <t>Sonst. Kosten +  Anschaff. FS Psych</t>
  </si>
  <si>
    <t>686.59</t>
  </si>
  <si>
    <t>Rechtsangelegenheiten FS Psych</t>
  </si>
  <si>
    <t>686.6</t>
  </si>
  <si>
    <t>Zuweisung Fachschaft ReWi</t>
  </si>
  <si>
    <t>686.61</t>
  </si>
  <si>
    <t>AE FS ReWi</t>
  </si>
  <si>
    <t>Fahrtk.+Verpfl. FS ReWi</t>
  </si>
  <si>
    <t>686.63</t>
  </si>
  <si>
    <t>Honorare und RK Doz. FS ReWi</t>
  </si>
  <si>
    <t>Raum- u. Unterk.f. Sitz.+Veranst.FS ReWi</t>
  </si>
  <si>
    <t>Bewirtungsk.f. Sitz./Veranst. FS ReWi</t>
  </si>
  <si>
    <t>Raumk. Sem. + Unterk. Doz.+Teiln. FS ReWi</t>
  </si>
  <si>
    <t>Bewirtungsk. Seminare FS ReWi</t>
  </si>
  <si>
    <t>686.68</t>
  </si>
  <si>
    <t>Sonst. Kosten +  Anschaff. FS ReWi</t>
  </si>
  <si>
    <t>686.69</t>
  </si>
  <si>
    <t>Rechtsangelegenheiten FS ReWi</t>
  </si>
  <si>
    <t>686.7</t>
  </si>
  <si>
    <t>Zuweisung Fachschaft METI</t>
  </si>
  <si>
    <t>686.71</t>
  </si>
  <si>
    <t>AE FS Meti</t>
  </si>
  <si>
    <t>Fahrtk.+Verpfl. FS Meti</t>
  </si>
  <si>
    <t>686.73</t>
  </si>
  <si>
    <t>Honorare und RK Doz. FS Meti</t>
  </si>
  <si>
    <t>Raum- u. Unterk.f. Sitz.+Veranst.FS Meti</t>
  </si>
  <si>
    <t>Bewirtungsk.f. Sitz./Veranst. FS Meti</t>
  </si>
  <si>
    <t>Raumk. Sem. + Unterk. Doz.+Teiln. FS Meti</t>
  </si>
  <si>
    <t>Bewirtungsk. Seminare FS Meti</t>
  </si>
  <si>
    <t>686.78</t>
  </si>
  <si>
    <t>Sonst. Kosten +  Anschaff. FS Meti</t>
  </si>
  <si>
    <t>686.79</t>
  </si>
  <si>
    <t>Rechtsangelegenheiten FS Meti</t>
  </si>
  <si>
    <t>686.8</t>
  </si>
  <si>
    <t>Studienbegleitende Veranstalt.</t>
  </si>
  <si>
    <t>Honorare Veranstalten RZ/StZ</t>
  </si>
  <si>
    <t>Zuschüssen RZ/StZ</t>
  </si>
  <si>
    <t>Sonstige Kosten RZ/StZ</t>
  </si>
  <si>
    <t>SUMME PLAN 6</t>
  </si>
  <si>
    <t>Darlehen an Studierende</t>
  </si>
  <si>
    <t>Darlehen für Auslandssemester</t>
  </si>
  <si>
    <t>SUMME PLAN 8</t>
  </si>
  <si>
    <t xml:space="preserve">Zuführung zur Rücklage </t>
  </si>
  <si>
    <t xml:space="preserve">Zuführung Sonderrücklage </t>
  </si>
  <si>
    <t>Zuführung zur Rücklage AStA Innovative Projekte</t>
  </si>
  <si>
    <t>SUMME PLAN 9</t>
  </si>
  <si>
    <t>SUMME Ausgaben</t>
  </si>
  <si>
    <t>Ergebnis (Einnahmen - Ausgaben)</t>
  </si>
  <si>
    <t>Soll zum 30.09.21</t>
  </si>
  <si>
    <t>Soll zum 30.09.22</t>
  </si>
  <si>
    <t>Rücklagen AStA Innovative Projekte</t>
  </si>
  <si>
    <t>./. Betriebsmittelrücklage (§12 Abs.2 HWVO)</t>
  </si>
  <si>
    <t>./. 5% Studierendenschaftsbeiträge</t>
  </si>
  <si>
    <t>freie Mittel</t>
  </si>
  <si>
    <t>./. Rücklagen für Wahlen (Ansatz: 18% Studierendenschaftsbeiträge)</t>
  </si>
  <si>
    <t>ungebundene Mittel</t>
  </si>
  <si>
    <t>412.20 (x0,4), 412.50 (x0,6)</t>
  </si>
  <si>
    <t>412.20 (x0,6), 412.50 (x0,4)</t>
  </si>
  <si>
    <t>425.13, 425.25, 527.11, 527.12, 527.13</t>
  </si>
  <si>
    <t>686.35 (x0,1)</t>
  </si>
  <si>
    <t>686.35 (x0,9), 686.37</t>
  </si>
  <si>
    <t>686.84, 686.23, 686.26</t>
  </si>
  <si>
    <t>341.00 (x1)</t>
  </si>
  <si>
    <t>341.00 (x0)</t>
  </si>
  <si>
    <t>527 42</t>
  </si>
  <si>
    <t>527 43</t>
  </si>
  <si>
    <t>527 44</t>
  </si>
  <si>
    <t>527 45</t>
  </si>
  <si>
    <t>551.45</t>
  </si>
  <si>
    <t>686.31 (x0,48)</t>
  </si>
  <si>
    <t>686.31 (x0,52), 686.41 (x0,87), 686.51 (x0,8), 686.61 (x0,33), 686.71 (x0,26)</t>
  </si>
  <si>
    <t>Variable AE Fachschaften (§ 44 d. Satzung)</t>
  </si>
  <si>
    <t>Variable AE Stupa, Ausschüsse, Arbeitsgruppen (§ 44 d. Satzung)</t>
  </si>
  <si>
    <t>Fernuni-Gremien (§ 44 d. Satzung)</t>
  </si>
  <si>
    <t>AStA-Veranstaltungen, Gäste, Sonstige (§ 44. d. Satzung)</t>
  </si>
  <si>
    <t>Fest-AE SP-Vorsitz, HHA-Vorsitz, AG-Sprecher (§ 43 d. Satzung)</t>
  </si>
  <si>
    <t>Fest-AE Fachschaften (Fester Wert, 5*800*12) (§ 43 d. Satzung)</t>
  </si>
  <si>
    <t>Fahrtkosten u. Verpfl.-Pauschale Stupa u. Ausschüsse</t>
  </si>
  <si>
    <t>Ich höre nichts!</t>
  </si>
  <si>
    <t>686.71 (x0,74)</t>
  </si>
  <si>
    <t>511.10,  511.15</t>
  </si>
  <si>
    <t>690.00 (x0,685)</t>
  </si>
  <si>
    <t>690.00 (x0,315)</t>
  </si>
  <si>
    <t>Verwaltungs- und Druckkosten</t>
  </si>
  <si>
    <t>Seminarplan</t>
  </si>
  <si>
    <t xml:space="preserve">Fachschaftsratsitzung: Online: 8 TN a 8 Stunden, davon 6x 40 € (halbiert) und 2x 80 € AE (unhalbiert); Präsenz: Ein Wochenende eintägige Sitzung, 8 TN, davon 6x 90 € AE (halbiert) und 2x 180 € AE (unhalbiert). 8 Anreisen, 12 Übernachtungen (BHS: 32 €/Nacht); Hybrid: Mittelwert </t>
  </si>
  <si>
    <t>Fachschaftsratsitzung 3x</t>
  </si>
  <si>
    <t>Sitzungen und Treffen von Arbeitsgruppen für zweckgebundene Zusammenarbeit unterhalb von Fachschaftssitzungen je nach Beschluss des FSR</t>
  </si>
  <si>
    <t>Seminarbetreuung</t>
  </si>
  <si>
    <r>
      <t xml:space="preserve">10 Präsenzseminare zu den Grundlagen Mathe und Statistik zu je 17,75 Stunden. Es werden neben dem Honorar (siehe obige Ausführungen) folgende Kosten der Dozierenden pro Seminar erwartet: 100 € Fahrtkosten, 200 € Unterkunftskosten. Bewirtung: Sozialadäquate Kleinigkeiten unterhalb einer Mahlzeit: 30 €/Seminar.  </t>
    </r>
    <r>
      <rPr>
        <b/>
        <sz val="11"/>
        <rFont val="Calibri"/>
        <family val="2"/>
        <scheme val="minor"/>
      </rPr>
      <t>Seminarbetreuung:</t>
    </r>
    <r>
      <rPr>
        <sz val="11"/>
        <rFont val="Calibri"/>
        <family val="2"/>
        <scheme val="minor"/>
      </rPr>
      <t xml:space="preserve"> AE: 120 €/Seminar zzgl. Reisekosten und Unterkunft: 100 €/Seminar. Hieraus ergibt sich ein Teilnahmebeitrag iHv. 90 € pP bei erwarteten 15 TN.</t>
    </r>
  </si>
  <si>
    <t>Verwaltungs- und Druckkosten Seminare</t>
  </si>
  <si>
    <r>
      <rPr>
        <b/>
        <sz val="8"/>
        <color theme="1"/>
        <rFont val="Calibri"/>
        <family val="2"/>
        <scheme val="minor"/>
      </rPr>
      <t>Kontenerklärung:</t>
    </r>
    <r>
      <rPr>
        <sz val="8"/>
        <color theme="1"/>
        <rFont val="Calibri"/>
        <family val="2"/>
        <scheme val="minor"/>
      </rPr>
      <t xml:space="preserve"> Den angegebenen Werten liegt ein Seminar-Rahmenplan der Fachschaft zugrunde. Es handelt sich um Budgetierungen. Im Rahmen dieser Budgets können die Fachschaften unter Beachtung des vom Studierendenparlament vorgegebenen Rahmen und den Vorschriften den HWVO mit Dozierenden Honorare in Höhe von 35 bis 65 € pro Zeitstunde aushandeln. Durch buchhalterische Verfahren wird sichergestellt, dass die Seminare weder Gewinne noch Verluste produzieren: Jedes Seminar wird hierzu in einem buchhalterischen Nebenkonto einzeln erfasst inklusive Neben- und  Verwaltungskosten, so dass für jedes einzelne Seminar Einnahmen und Ausgaben auswertbar gemacht werden. Hierdurch wird ermöglicht, etwaige Gewinne an die Teilnehmer*innen zurückzugeben oder bei Verlusten nachzufordern, so dass keine Studierendengelder für Nachhilfe verwendet werden. Von Nachforderungen und Rückerstattungen wird abgesehen, wenn der Betrag pro Teilnehmer nicht 5 € erreicht.</t>
    </r>
  </si>
  <si>
    <t>Seminarplan (vorwiegend extern)</t>
  </si>
  <si>
    <t xml:space="preserve">Fachschaftsratsitzung: Online: 7 TN a 3 Stunden, davon 5x 20 € (halbiert) und 2x 40 € AE (unhalbiert); </t>
  </si>
  <si>
    <t>4 Online-Seminare zum Verwaltungsrecht wie oben bei Strafrecht</t>
  </si>
  <si>
    <t>4 Online-Seminare zum Arbeitsvertrags- und Unternehmensrecht wie oben bei Strafrecht</t>
  </si>
  <si>
    <t>5 Klausuren- und Hausarbeitskurse, wie oben beim Strafrecht</t>
  </si>
  <si>
    <t>4 Online-Seminare zum BGB-Sachenrecht. Es wird mit einem durchschnittlichen Honorar iHv. 60 € / Std. gerechnet. Es werden etwa 20 Teilnehmer*innen pro Seminar erwartet, woraus sich ein TN-Beitrag von ca. 48,50 € ergibt. Ansonsten gilt das Obige.</t>
  </si>
  <si>
    <t>5 Online-Seminare zum Strafrecht im Umfang von je ca. 14,5 Std. Es wird mit einem durchschnittlichen Honorar von 55 € gerechnet. Erwartet werden etwa 15 Teilnehmer*innen pro Seminar, woraus sich ein TN-Beitrag von ca. 58,50 € ergibt. Ansonsten gilt das Obige.</t>
  </si>
  <si>
    <t>Honorare für kostenfreie, allgemeine Vorträge</t>
  </si>
  <si>
    <t>Stand 30.09.22</t>
  </si>
  <si>
    <t>wundercoach</t>
  </si>
  <si>
    <t>Lizenzkosten Zoom und wundercoach</t>
  </si>
  <si>
    <t>3 Online-Seminare zu lehrgebietsspezifischen Themen der Fakultät, noch nicht näher benannt. Die Planung orientiert sich an den obigen Seminaren zu Qualitativen und Quantitativen Methoden.</t>
  </si>
  <si>
    <t>4 Online-Seminare zu Quantitativen und Qualitativen Methoden zu je 14 Stunden.  Es liegen keine Erfahrungswerte bzgl. erforderlichen Honorare und Teilnahmen vor. Es werden aber 55 €/Std. für Dozierende erwartet und 20 Teilnehmer*innen angestrebt, woraus sich ein TN-Beitrag von ca. 45 € ergibt.</t>
  </si>
  <si>
    <t>2x Online-Workshop Kommunikation für alle Fakultäten</t>
  </si>
  <si>
    <t>2x Workshop MS Word für alle Fakultäten</t>
  </si>
  <si>
    <t xml:space="preserve">Fachschaftsratsitzung: Online: 8 TN a 4 Stunden, davon 6x 20 € (halbiert) und 2x 40 € AE (unhalbiert); Präsenz: Ein Wochenende eintägige Sitzung, 8 TN, davon 6x 90 € AE (halbiert) und 2x 180 € AE (unhalbiert). 8 Anreisen, 12 Übernachtungen (BHS: 32 €/Nacht); Hybrid: Mittelwert </t>
  </si>
  <si>
    <t>Fachschaftsratssitzung 4x</t>
  </si>
  <si>
    <t>Fachschaftsratssitzung 2x</t>
  </si>
  <si>
    <t>Arbeitsgruppe Lehrpreis und Qualitätsverbesserung: 4 TN, 3 Sitzungen a 4 Std., AE je 3x 20 €, 1x 40 €</t>
  </si>
  <si>
    <t>Fachschaftsrätekonferenz: 4 TN, ein Wochenende, AE ca. 80 € pP, RK ca. 80 pP., 8 Übernachtungen BHS a 32 €</t>
  </si>
  <si>
    <t>Klausurtagung, Team building: 5 TN, ein Wochenende, sonst wie FSRK, 10 Übernachtungen BHS, Seminarraum klein BHS: 200 €</t>
  </si>
  <si>
    <t>Interne Schulung in der BHS, ein Wochenende, 5 TN, 8 Übernachtungen</t>
  </si>
  <si>
    <t>Online-Aufbaukurs VBA, 3-teilig a 14,5 Std. Es wird mit einem durchschnittlichen Honorar von 55 € gerechnet. Hinsichtlich TN-Zahlen gibt es keine Erfahrungswerte, angestrebt werden 10 TN pro Seminar, woraus sich ein TN-Beitrag iHv. etwa 88 € ergibt.</t>
  </si>
  <si>
    <t>12 Online-Seminare "Java Bootcamp" a 16 Stunden. Honorar: Es wird mit einem Durchschnitt von 55 €/Std. gerechnet. Erwartet werden je ca. 10 Teilnehmer*innen, woraus sich ein TN-Beitrag iHv. 96,50 € ergibt.</t>
  </si>
  <si>
    <t>Basiskalkulationen: Anteilige Aufwandsentschädigung Seminarkoordination: 50% der jährlichen Bezüge, i.e.: 960 € durch Anzahl der Seminare. Hier 21, ergibt gerundet 45,50 € AE pro Seminar. Es werden mit den Dozierenden je nach Qualifikation und Anforderungen Honorare zwischen 35 und 65 € entsprechend dem Rahmenbeschluss des SP ausgehandelt. Grundsätzlich wird sich hier am Rahmen der Entlohnung von Dozierenden an der FernUni bewegt. Werbungskosten: 65 € = 5 €/Seminar; Verwaltungskosten: 3 € pro Teilnehmer; Zoom: Anteilig ca. 100 €/Jahr = 5 €/Seminar</t>
  </si>
  <si>
    <t>Basiskalkulationen: Anteilige Aufwandsentschädigungen Seminarkoordination  50% der jährlichen Bezüge, i.e.: 960 € durch Anzahl der Seminare. Hier 30, ergibt gerundet 32 € AE pro Seminar.  Es werden mit den Dozierenden je nach Qualifikation und Anforderungen Honorare zwischen 35 und 65 € entsprechend dem Rahmenbeschluss des SP ausgehandelt. Grundsätzlich wird sich hier am Rahmen der Entlohnung von Dozierenden an der FernUni bewegt. Anteilige Kosten Seminarportal wundercoach: 1.200 €/Jahr = 40 €/Seminar; Werbungskosten: 150 € = 5 €/Seminar; Verwaltungskosten: 3 € pro Teilnehmer; Zoom/Adobe: 100 €/Jahr =  3 €/Seminar</t>
  </si>
  <si>
    <t xml:space="preserve">8 Online-Seminare zum BGB-Schuldrecht. Umfang etwa 14,5 Stunden.  Es wird mit einem Durchschnitt von 55 €/Std. gerechnet. Erwartet werden etwa 20 Teilnehmer*innen pro Seminar, woraus sich ein TN-Beitrag von ca. 45 € ergibt. </t>
  </si>
  <si>
    <t>Basiskalkulationen: Anteilige Aufwandsentschädigungen Seminarkoordination: 50% der jährlichen Bezüge, i.e.:  1.200 € durch Anzahl der Seminare. Hier 28, ergibt gerundet 43 € AE pro Seminar.  Es werden mit den Dozierenden je nach Qualifikation und Anforderungen Honorare zwischen 35 und 65 € entsprechend dem Rahmenbeschluss des SP ausgehandelt. Grundsätzlich wird sich hier am Rahmen der Entlohnung von Dozierenden an der FernUni bewegt. Verwaltungskosten: 1 € pro Teilnehmer, niedrig angesetzt aufgrund einer Vielzahl gleichartiger Fälle aufgrund hoher TN-Zahlen</t>
  </si>
  <si>
    <t xml:space="preserve">4 Online-Seminare zum Thema Statistik für Master Studierende zu je 12 Std.; Honorar: Es wird mit einem Durchschnitt von 45 €/Std. gerechnet. Erwartet werden etwa 40 Teilnehmer*innen pro Seminar, woraus sich ein TN-Beitrag von 15,60 € ergibt. </t>
  </si>
  <si>
    <t xml:space="preserve">6 Online-Seminare zum Thema Test- &amp; Fragebogenkonstruktion zu je 17 Std.; Honorar:  Es wird mit einem Durchschnitt von 45 €/Std. gerechnet. Erwartet werden etwa 90 Teilnehmer*innen pro Seminar, woraus sich ein TN-Beitrag von 10,00 € ergibt. </t>
  </si>
  <si>
    <t xml:space="preserve">6 Online-Seminare zum Thema Statistik zu je 17 Std.; Honorar: Es wird mit einem Durchschnitt von 45 €/Std. gerechnet. Erwartet werden etwa 90 Teilnehmer*innen pro Seminar, woraus sich ein TN-Beitrag von 10,00 € ergibt. </t>
  </si>
  <si>
    <t xml:space="preserve">8 Online Crash-Seminare zum Thema Statistik zu je 20 Std.; Honorar: Es wird mit einem Durchschnitt von 45 €/Std. gerechnet. Erwartet werden etwa 90 Teilnehmer*innen pro Seminar, woraus sich ein TN-Beitrag von 11,50 € ergibt. </t>
  </si>
  <si>
    <t xml:space="preserve">4 Online-Crash-Seminare zum Thema Test- &amp; Fragebogenkonstruktion zu je 20 Std.; Honorar: Es wird mit einem Durchschnitt von 45 €/Std. gerechnet. Erwartet werden etwa 90 Teilnehmer*innen pro Seminar, woraus sich ein TN-Beitrag von 11,50 € ergibt. </t>
  </si>
  <si>
    <t>5 Online-Seminare zum Wissenschaftlichen Arbeiten für alle Fakultäten zu je 8 Std. Es wird mit einem Durchschnitt von 55 €/Std. gerechnet. Erwartet werden etwa 30 Teilnehmer*innen pro Seminar, woraus sich ein TN-Beitrag von ca. 19,50 € ergibt.</t>
  </si>
  <si>
    <t>Basiskalkulationen: Anteilige Aufwandsentschädigung Seminarkoordination: 50% der jährlichen Bezüge, i.e.: 750 € durch Anzahl der Seminare. Hier 12, ergibt gerundet 62,50 € AE pro Seminar.  Es werden mit den Dozierenden je nach Qualifikation und Anforderungen Honorare zwischen 35 und 65 € entsprechend dem Rahmenbeschluss des SP ausgehandelt. Grundsätzlich wird sich hier am Rahmen der Entlohnung von Dozierenden an der FernUni bewegt. Anteilige Kosten Seminarportal wundercoach: 900 €/Jahr = 75/Seminar; Werbungskosten: 120 € = 10 €/Seminar; Verwaltungskosten: 2 € pro Teilnehmer bei Seminaren über 30 TN, sonst 3 €; Zoom: Anteilig ca. 100 €/Jahr = 8 €/Seminar</t>
  </si>
  <si>
    <t>Basiskalkulationen: Anteilige Aufwandsentschädigungen Seminarkoordination und Öffentlichkeitsarbeit: Je 50% der jährlichen Bezüge, i.e.: Je 1.200 € durch Anzahl der Seminare. Hier 54, ergibt gerundet 45 € AE pro Seminar.  Es werden mit den Dozierenden je nach Qualifikation und Anforderungen Honorare zwischen 35 und 65 € entsprechend dem Rahmenbeschluss des SP ausgehandelt. Grundsätzlich wird sich hier am Rahmen der Entlohnung von Dozierenden an der FernUni bewegt. Anteilige Kosten Seminarportal wundercoach: 1.200 €/Jahr = 22,50/Seminar; Werbungskosten: 500 € = 9,50/Seminar; Verwaltungskosten: 3 € pro Teilnehmer; Zoom: Anteilig ca. 100 €/Jahr = 2 €/Seminar</t>
  </si>
  <si>
    <t xml:space="preserve">12 Online-Seminare zum Thema Öffentliche Ausgaben zu je 17.75 Std.; Honorar:  Es wird mit einem Durchschnitt von 45 €/Std. gerechnet. Erwartet werden etwa 15 Teilnehmer*innen pro Seminar, woraus sich ein TN-Beitrag von 60 € ergibt. </t>
  </si>
  <si>
    <t>12 Online-Seminare zu den Themengebieten Rechnungswesen, Rechnungslegung und Controlling. Ansonsten gelten die obigen Ausführungen.</t>
  </si>
  <si>
    <t>10 Online-Seminare zu den Themengebieten Einführung in die Wiwi, Mikro- und Makroökonomik, Markt und Staat und Finanzwirtschaft. Ansonsten gelten die obigen Ausführungen</t>
  </si>
  <si>
    <t>10 Online-Seminare zu den Themen Investition und Finanzierung, Finanzintermediation und Bankmanagement, Finanzintermediation und Bankmanagement, Preisbildung auf unvollkommenen Märkten, Modellierung von Informationssystemen, Einführung in die objektorientierte Programmierung. Ansonsten gelten die obigen Ausführungen</t>
  </si>
  <si>
    <t>5 Online Seminare SQL zu je 8 Std. Es wird mit durchschnittlichen Honorarkosten von 55 € gerechnet. Erfahrungswerte zu Teilnahmezahlen sind nicht vorhanden, angestrebt wird eine Teilnahme von 10 TN pro Seminar, woraus sich ein TN-Beitrag von etwa 52 € pP ergibt.</t>
  </si>
  <si>
    <t xml:space="preserve">Fachschaftsratsitzung: Online: 6 TN a 4 Stunden, davon 4x 20 € (halbiert) und 2x 40 € AE (unhalbiert); Präsenz: Ein Wochenende eintägige Sitzung, 6 TN, davon 4x 90 € AE (halbiert) und 2x 180 € AE (unhalbiert). 6 Anreisen, 10 Übernachtungen (BHS: 32 €/Nacht); Hybrid: Mittelwert </t>
  </si>
  <si>
    <t>Fachschaftsratssitzung 5x</t>
  </si>
  <si>
    <t>Fachschaftsratssitzuung 1x</t>
  </si>
  <si>
    <r>
      <rPr>
        <b/>
        <sz val="10"/>
        <color theme="1"/>
        <rFont val="Calibri"/>
        <family val="2"/>
        <scheme val="minor"/>
      </rPr>
      <t xml:space="preserve">Kontenerklärung: </t>
    </r>
    <r>
      <rPr>
        <sz val="10"/>
        <color theme="1"/>
        <rFont val="Calibri"/>
        <family val="2"/>
        <scheme val="minor"/>
      </rPr>
      <t>Siehe Blatt WiWi an gleicher Stelle</t>
    </r>
  </si>
  <si>
    <t>Barrierearmut, Ausgleich von Vorjahreskosten</t>
  </si>
  <si>
    <t>z.B. kleine (Schönheits)Reparaturen</t>
  </si>
  <si>
    <t>Wirtschaftlich erforderlich für Ausgleich Cash-Flow im lfd. Wirtschaftsjahr, auch weil die wirtschaftliche Situation infolge der Pandemie kaum noch prognostizierbar ist</t>
  </si>
  <si>
    <t>var</t>
  </si>
  <si>
    <t>425.25, 527.11, 527.12, 527.13</t>
  </si>
  <si>
    <t xml:space="preserve">511.10,  511.15, </t>
  </si>
  <si>
    <t>686.31 (x0,5), 686.41 (x0,87), 686.51 (x0,8), 686.61 (x0,33), 686.71 (x0,26)</t>
  </si>
  <si>
    <t>686.31 (x0,5)</t>
  </si>
  <si>
    <t>686.71 (0,74)</t>
  </si>
  <si>
    <t>Stand 30. Sep. 2022</t>
  </si>
  <si>
    <t>Spalte2</t>
  </si>
  <si>
    <t>2022/2023</t>
  </si>
  <si>
    <t>2022 / 2023</t>
  </si>
  <si>
    <t>Alt</t>
  </si>
  <si>
    <t>SP-Beschluss 24.09.22</t>
  </si>
  <si>
    <t>12-Regelung
Oktober 2022</t>
  </si>
  <si>
    <t>12-Regelung
November 2022</t>
  </si>
  <si>
    <t>12-Regelung
Dezember 2022</t>
  </si>
  <si>
    <t>31.09.2023</t>
  </si>
  <si>
    <t>427.00</t>
  </si>
  <si>
    <t>511.50</t>
  </si>
  <si>
    <t>517.20</t>
  </si>
  <si>
    <t>525.00</t>
  </si>
  <si>
    <t>527.60</t>
  </si>
  <si>
    <t>533.00</t>
  </si>
  <si>
    <t>535.10</t>
  </si>
  <si>
    <t>535.20</t>
  </si>
  <si>
    <t>535.50</t>
  </si>
  <si>
    <t>537.00</t>
  </si>
  <si>
    <t>538.00</t>
  </si>
  <si>
    <t>neu</t>
  </si>
  <si>
    <t>IST zum 30.09.22</t>
  </si>
  <si>
    <t>Mitgliedschaft Bundesverband BRF</t>
  </si>
  <si>
    <t>nach Klärung der Rechts- und Sachlage</t>
  </si>
  <si>
    <t>IST HHJ 22-23
31.10.2022</t>
  </si>
  <si>
    <t>IST HHJ 22-23
30.11.2022</t>
  </si>
  <si>
    <t>IST HHJ 22-23
15.12.2022</t>
  </si>
  <si>
    <t>SOLL 20-21</t>
  </si>
  <si>
    <t>IST 20-21</t>
  </si>
  <si>
    <t>SOLL HHJ 23-24</t>
  </si>
  <si>
    <t xml:space="preserve">IST HHJ 22-23 </t>
  </si>
  <si>
    <t>Stand: 31.07.2023</t>
  </si>
  <si>
    <t>HHJ 23-24</t>
  </si>
  <si>
    <t>Mieten HHJ 23-24</t>
  </si>
  <si>
    <t>Lizenzen HHJ 23-24</t>
  </si>
  <si>
    <t>Auslaufend!</t>
  </si>
  <si>
    <t>Anschaffungsplan HHJ 23-24</t>
  </si>
  <si>
    <t>ggf. aufgrund von Datenschutzanforderungen - Keine Anschaffung in 22-23</t>
  </si>
  <si>
    <t>Rücklagenbildung energetische Sanierung</t>
  </si>
  <si>
    <t>Maßnahme 2: Seminarreihe Wissenschaftliches Arbeiten (WiSe) (6 Termine à 2 Stunden)</t>
  </si>
  <si>
    <t>Maßnahme 3: Seminarreihe Wissenschaftliches Arbeiten (SoiSe) (6 Termine à 2 Stunden)</t>
  </si>
  <si>
    <t>Maßnahme 4: Seminarreihe Wissenschaftliches Arbeiten mit WORD (WiSe) (4 Termine à 2 Stunden)</t>
  </si>
  <si>
    <t>Maßnahme 5: Seminarreihe Wissenschaftliches Arbeiten mit WORD (SoSe) (4 Termine à 2 Stunden)</t>
  </si>
  <si>
    <t xml:space="preserve">Workshop 1 Inklusion und Gleichstellung (evt. Kooperation mit der FernUni) </t>
  </si>
  <si>
    <t>Workshop Gleichstellung (Orange Day)</t>
  </si>
  <si>
    <t>Workshop Rassismus</t>
  </si>
  <si>
    <t xml:space="preserve">Kinderlernwochen (25 Studierende mit Kindern, insgesamt 6 Wochen, Zimmer BHS plus Seminarraum; Teilnahmebeitrag 50-80 €) </t>
  </si>
  <si>
    <t>Rechtsberatung (für Studierende mit Beeinträchtigungen sowie mit Kindern (Mutterschutz); wöchentlich je 1 Stunde)</t>
  </si>
  <si>
    <t>Anschaffung Bildschirmlesegerät (Beschluss bereits vorhanden)</t>
  </si>
  <si>
    <t>Messebesuche (Sight City, RehaCare)</t>
  </si>
  <si>
    <t>Entwurf Haushaltsplan 2023-2024</t>
  </si>
  <si>
    <t>Maßnahme 1: Interaktive PDFs</t>
  </si>
  <si>
    <t>Maßnahme 2: Verknüpfung SR mit Social Media</t>
  </si>
  <si>
    <t>Projektgruppe Digitalisierung</t>
  </si>
  <si>
    <t>Maßnahme 1: Digitalisierung der Reisekostenabrechnungen: Beratungsleistungen, Testsoftware, ext. Dienstleistungen</t>
  </si>
  <si>
    <t>Soziales</t>
  </si>
  <si>
    <t>Betreuung der Standorte - Präsenztreffen, Teilnahme an Start-it-Ups, AG-Gründungstreffen der Fakultäten, Get togethers, sonstige Veranstaltungen etc. durch Referat und Studierendenvertretung WS 23/24 und SoSe24</t>
  </si>
  <si>
    <t>Förderung von Veranstaltungen in den Regionalzentren, falls sich eine Einigung über die rechtlichen Grundlagen ergibt</t>
  </si>
  <si>
    <t>Werbematerialien (Flyer, Merch, Informationsmaterial)</t>
  </si>
  <si>
    <t>HHJ 23-24 - Leistungen Dritter</t>
  </si>
  <si>
    <t>HHJ 23-24 - IT-Dienstleistungen</t>
  </si>
  <si>
    <t>Basiskalkulationen: Anteilige Aufwandsentschädigungen Seminarkoordination und Öffentlichkeitsarbeit: Je 50% der jährlichen Bezüge, i.e.: 600 € + 1.200 € durch Anzahl der Seminare. Hier 50, ergibt gerundet 36 € AE pro Seminar.  Es werden den Dozierenden je nach Qualifikation Honorare zwischen 35 und 45 € entsprechend dem Rahmenbeschluss des FSR WiWi ausbezahlt. Grundsätzlich wird sich hier am Rahmen der Entlohnung von Dozierenden an der FernUni bewegt. Anteilige Kosten Seminarportal wundercoach: 1.200 €/Jahr = 24/Seminar; Verwaltungskosten: 3 € pro Teilnehmer; Zoom: Anteilig ca. 140 €/Jahr = 2,80 €/Seminar</t>
  </si>
  <si>
    <t>50 Online-Seminare entsprechend des Beschlusses des Fachschaftsrates WiWi</t>
  </si>
  <si>
    <t>Freie Eingabe HHHJ 23-24</t>
  </si>
  <si>
    <t>Rechnung HHJ 22-232</t>
  </si>
  <si>
    <t>Rechnung HHJ 23-24</t>
  </si>
  <si>
    <t>Wissenschaftliches Arbeiten - Grundlagen</t>
  </si>
  <si>
    <t>Wissenschaftliches Arbeiten - Textanalyse</t>
  </si>
  <si>
    <t>Wissenschaftliches Arbeiten - WORD</t>
  </si>
  <si>
    <t>Seminar Statistik</t>
  </si>
  <si>
    <t>Fachseminar Expose</t>
  </si>
  <si>
    <t>Politische Veranstaltung zum Thema "Rechtsradikalismus"</t>
  </si>
  <si>
    <t>Politische Veranstaltung "Kommunalwesen"</t>
  </si>
  <si>
    <t>Politische Veranstaltung "Vogelsang"</t>
  </si>
  <si>
    <t>Zu M2 - T1, T2, T3</t>
  </si>
  <si>
    <t>Zu MM1 - T1, T2</t>
  </si>
  <si>
    <t>Chrash M2 - T1, T2, T3</t>
  </si>
  <si>
    <t>Zu M6a - T1, T2, T3; Chrash M6a - T1, T2</t>
  </si>
  <si>
    <t>Freie Eingabe Plan 22-232</t>
  </si>
  <si>
    <t>Freie Eingabe Plan 23-24</t>
  </si>
  <si>
    <t>Freie Eingabe Plan HHJ 22-232</t>
  </si>
  <si>
    <t>Rechnung HHJ 22-233</t>
  </si>
  <si>
    <t>Die Seminarplanung richtet sich kalkulatorisch nach dem letzten Jahr. Es sind Änderungen aufgrund der veränderten Rechts- und Interessenlage zu erwarten.</t>
  </si>
  <si>
    <t>Von Rewi liegen nur Zahlen im alten Haushaltsformat ohne jegliche Kalkulation vor.</t>
  </si>
  <si>
    <t>Maßnahme 3: Beschaffung neues Buchhaltungsprogramm</t>
  </si>
  <si>
    <t>Aktuell werden entgegen dem SP-Beschluss 9 € eingezogen.</t>
  </si>
  <si>
    <t>Es wird versucht eine Möglichkeit zu finden, dies über das HHJ auszugleichen</t>
  </si>
  <si>
    <t>Konzeptionierung eines Digitalen SR in Form eines Newsmagazins  Ziel soll es sein, die Fachschaften und den AStA auch neben den Quartalsterminen in die Lage zu versetzen Texte zu publizieren.
Neben den Websites der Fachschaften bietet dieses Vorgehenswiese den Vorteil, dass alle Texte / Infos etc. an einem Ort gebündelt sind. 
Es gibt leider keine Infos zu Kosten von Nachrichtenseiten etc. – Deswegen orientieren wir uns an Homepagekosten. Die Schätzungen gehen hier weit auseinander und liegen zwischen 2.000 und 20.000 €.  Quelle: https://www.jimdo.com/de/magazin/wie-viel-kostet-eine-website-fuer-ein-unternehmen/#:~:text=Eine%20durchschnittliche%20Website%20mit%20nur,700%20bis%2010.000%20%E2%82%AC%20kosten.
Richtig ist aber auch, dass es auf den Umfang ankommt. Für weitere Ausführungen wird auf die Anlage verwiesen.</t>
  </si>
  <si>
    <t>Im Zuge der Digitalisierung wäre evtl. eine eigene App sinnvoll. Auch eine App zu bepreisen ist nicht leicht und es gibt von x bis y! Unsere App soll keine Spielfunktion haben, sondern einfach, organisatorische und informative Dinge erledigen. Deswegen würde ich die Entwicklung im unteren Bereich ansetzen. Ein grober Kostenrahmen scheint im Bereich 30.000 bis 40.000 € zu bestehen. Für weitere Details wird auf die Anlage verwiesen.</t>
  </si>
  <si>
    <t>Eine konkretere Kalkulation liegt nicht vor.</t>
  </si>
  <si>
    <t>Equipment Social Media und ÖA</t>
  </si>
  <si>
    <t>Für die Umsetzung des neuen ÖA-Konzeptes</t>
  </si>
  <si>
    <t>Maßnahme 3:Newsletter Konzeptionierung eines Newsletters: 
Wir benötigen ein Layout für einen Newsletter
Es soll über unsere Arbeit berichtet werden und über Veranstaltungen an der Uni oder in Zusammenhang mit dem Studium -&gt; Bspw. Erkenntnisse, Seminare oder SprachRohr  Je nach Komplexität Kostenschätzungen zwischen 100 und 5000 €
Lt. Pascal Gluth haben wir bereits die Add-Ins für den Newsletter für die HP Quelle: https://www.4imedia.com/mail-marketing/kosten-fuer-einen-newsletter/
Wir sollten auch etwas mehr Geld einplanen, da ich denke auch zu Beginn wird es noch ein paar Verbesserungen geben müssen und um auf der Sicheren Seite zu sein.</t>
  </si>
  <si>
    <t>Externe Vergabe von ÖA, Presse, Repräsentations- und Layoutaufgaben</t>
  </si>
  <si>
    <t>Erläuterungen im Referatsplan sowie in der Anlage</t>
  </si>
  <si>
    <t>Enthält spezialisierte Rechtsberatung Inklusion und Gleichstellung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</si>
</sst>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164" formatCode="#,##0.00\ &quot;€&quot;"/>
    <numFmt numFmtId="165" formatCode="_-* #,##0.00&quot; €&quot;_-;\-* #,##0.00&quot; €&quot;_-;_-* \-??&quot; €&quot;_-;_-@_-"/>
    <numFmt numFmtId="167" formatCode="0\ %"/>
    <numFmt numFmtId="171" formatCode="#,##0.00\ _€"/>
    <numFmt numFmtId="172" formatCode="_-* #,##0.00\ [$€-407]_-;\-* #,##0.00\ [$€-407]_-;_-* &quot;-&quot;??\ [$€-407]_-;_-@_-"/>
    <numFmt numFmtId="173" formatCode="#,##0.00\ [$€-407];[Red]\-#,##0.00\ [$€-407]"/>
  </numFmts>
  <fonts count="79" x14ac:knownFonts="1">
    <font>
      <sz val="11"/>
      <color theme="1"/>
      <name val="Calibri"/>
      <family val="2"/>
      <scheme val="minor"/>
    </font>
    <font>
      <b/>
      <sz val="11"/>
      <color theme="1"/>
      <name val="Calibri"/>
      <family val="2"/>
      <scheme val="minor"/>
    </font>
    <font>
      <b/>
      <sz val="18"/>
      <color theme="1"/>
      <name val="Calibri"/>
      <family val="2"/>
      <scheme val="minor"/>
    </font>
    <font>
      <b/>
      <sz val="12"/>
      <name val="Calibri"/>
      <family val="2"/>
      <scheme val="minor"/>
    </font>
    <font>
      <b/>
      <sz val="12"/>
      <color theme="1"/>
      <name val="Calibri"/>
      <family val="2"/>
      <scheme val="minor"/>
    </font>
    <font>
      <b/>
      <sz val="14"/>
      <color theme="1"/>
      <name val="Calibri"/>
      <family val="2"/>
      <scheme val="minor"/>
    </font>
    <font>
      <sz val="11"/>
      <name val="Calibri"/>
      <family val="2"/>
    </font>
    <font>
      <sz val="12"/>
      <color theme="1"/>
      <name val="Calibri"/>
      <family val="2"/>
      <scheme val="minor"/>
    </font>
    <font>
      <u/>
      <sz val="11"/>
      <color theme="10"/>
      <name val="Calibri"/>
      <family val="2"/>
      <scheme val="minor"/>
    </font>
    <font>
      <b/>
      <sz val="10"/>
      <name val="Calibri"/>
      <family val="2"/>
    </font>
    <font>
      <sz val="12"/>
      <color indexed="8"/>
      <name val="Calibri"/>
      <family val="2"/>
    </font>
    <font>
      <sz val="10"/>
      <name val="Calibri"/>
      <family val="2"/>
    </font>
    <font>
      <sz val="11"/>
      <color rgb="FF000000"/>
      <name val="Calibri"/>
      <family val="2"/>
      <charset val="1"/>
    </font>
    <font>
      <sz val="11"/>
      <name val="Calibri"/>
      <family val="2"/>
      <scheme val="minor"/>
    </font>
    <font>
      <b/>
      <sz val="12"/>
      <name val="Calibri"/>
      <family val="2"/>
    </font>
    <font>
      <b/>
      <sz val="9"/>
      <color indexed="81"/>
      <name val="Segoe UI"/>
      <family val="2"/>
    </font>
    <font>
      <b/>
      <u/>
      <sz val="11"/>
      <color theme="1"/>
      <name val="Calibri"/>
      <family val="2"/>
      <scheme val="minor"/>
    </font>
    <font>
      <sz val="11"/>
      <color indexed="8"/>
      <name val="Calibri"/>
      <family val="2"/>
    </font>
    <font>
      <b/>
      <sz val="12"/>
      <color indexed="8"/>
      <name val="Calibri"/>
      <family val="2"/>
    </font>
    <font>
      <b/>
      <sz val="11"/>
      <color indexed="8"/>
      <name val="Calibri"/>
      <family val="2"/>
    </font>
    <font>
      <b/>
      <sz val="10"/>
      <color theme="1"/>
      <name val="Calibri"/>
      <family val="2"/>
      <scheme val="minor"/>
    </font>
    <font>
      <sz val="10"/>
      <color theme="1"/>
      <name val="Calibri"/>
      <family val="2"/>
      <scheme val="minor"/>
    </font>
    <font>
      <b/>
      <u/>
      <sz val="10"/>
      <color theme="1"/>
      <name val="Calibri"/>
      <family val="2"/>
      <scheme val="minor"/>
    </font>
    <font>
      <b/>
      <vertAlign val="subscript"/>
      <sz val="8"/>
      <color theme="0"/>
      <name val="Calibri"/>
      <family val="2"/>
      <scheme val="minor"/>
    </font>
    <font>
      <vertAlign val="subscript"/>
      <sz val="8"/>
      <color theme="0"/>
      <name val="Calibri"/>
      <family val="2"/>
      <scheme val="minor"/>
    </font>
    <font>
      <u/>
      <sz val="11"/>
      <color theme="4"/>
      <name val="Calibri"/>
      <family val="2"/>
      <scheme val="minor"/>
    </font>
    <font>
      <b/>
      <sz val="11"/>
      <name val="Calibri"/>
      <family val="2"/>
    </font>
    <font>
      <b/>
      <sz val="11"/>
      <color theme="1"/>
      <name val="Calibri"/>
      <family val="2"/>
    </font>
    <font>
      <b/>
      <sz val="11"/>
      <color theme="4"/>
      <name val="Calibri"/>
      <family val="2"/>
    </font>
    <font>
      <sz val="11"/>
      <color theme="4"/>
      <name val="Calibri"/>
      <family val="2"/>
    </font>
    <font>
      <sz val="11"/>
      <color theme="1"/>
      <name val="Calibri"/>
      <family val="2"/>
      <scheme val="minor"/>
    </font>
    <font>
      <u/>
      <sz val="11"/>
      <name val="Calibri"/>
      <family val="2"/>
    </font>
    <font>
      <sz val="10"/>
      <color indexed="9"/>
      <name val="Calibri"/>
      <family val="2"/>
    </font>
    <font>
      <sz val="11"/>
      <color theme="1"/>
      <name val="Calibri"/>
      <family val="2"/>
    </font>
    <font>
      <b/>
      <sz val="11"/>
      <color theme="0"/>
      <name val="Calibri"/>
      <family val="2"/>
      <scheme val="minor"/>
    </font>
    <font>
      <sz val="11"/>
      <color theme="0"/>
      <name val="Calibri"/>
      <family val="2"/>
      <scheme val="minor"/>
    </font>
    <font>
      <b/>
      <sz val="9"/>
      <color theme="4" tint="-0.249977111117893"/>
      <name val="Calibri"/>
      <family val="2"/>
      <scheme val="minor"/>
    </font>
    <font>
      <b/>
      <sz val="9"/>
      <color theme="1"/>
      <name val="Calibri"/>
      <family val="2"/>
      <scheme val="minor"/>
    </font>
    <font>
      <b/>
      <sz val="9"/>
      <name val="Calibri"/>
      <family val="2"/>
      <scheme val="minor"/>
    </font>
    <font>
      <b/>
      <sz val="8"/>
      <color theme="4" tint="-0.249977111117893"/>
      <name val="Calibri"/>
      <family val="2"/>
      <scheme val="minor"/>
    </font>
    <font>
      <b/>
      <sz val="11"/>
      <name val="Calibri"/>
      <family val="2"/>
      <scheme val="minor"/>
    </font>
    <font>
      <b/>
      <sz val="11"/>
      <color theme="4" tint="-0.249977111117893"/>
      <name val="Calibri"/>
      <family val="2"/>
      <scheme val="minor"/>
    </font>
    <font>
      <b/>
      <sz val="10"/>
      <color theme="4" tint="-0.249977111117893"/>
      <name val="Calibri"/>
      <family val="2"/>
      <scheme val="minor"/>
    </font>
    <font>
      <sz val="10"/>
      <name val="Calibri"/>
      <family val="2"/>
      <scheme val="minor"/>
    </font>
    <font>
      <sz val="9"/>
      <name val="Calibri"/>
      <family val="2"/>
      <scheme val="minor"/>
    </font>
    <font>
      <b/>
      <sz val="11"/>
      <color rgb="FFFF0000"/>
      <name val="Calibri"/>
      <family val="2"/>
      <scheme val="minor"/>
    </font>
    <font>
      <sz val="11"/>
      <color indexed="8"/>
      <name val="Calibri"/>
      <family val="2"/>
      <charset val="1"/>
    </font>
    <font>
      <sz val="10"/>
      <name val="Arial"/>
      <family val="2"/>
      <charset val="1"/>
    </font>
    <font>
      <sz val="10"/>
      <color indexed="8"/>
      <name val="Arial"/>
      <family val="2"/>
      <charset val="1"/>
    </font>
    <font>
      <b/>
      <sz val="11"/>
      <color rgb="FFFFFF00"/>
      <name val="Calibri"/>
      <family val="2"/>
      <scheme val="minor"/>
    </font>
    <font>
      <sz val="11"/>
      <name val="Calibri"/>
      <family val="2"/>
      <charset val="1"/>
    </font>
    <font>
      <sz val="9"/>
      <color theme="1"/>
      <name val="Calibri"/>
      <family val="2"/>
      <scheme val="minor"/>
    </font>
    <font>
      <b/>
      <u/>
      <sz val="10"/>
      <color indexed="8"/>
      <name val="Calibri"/>
      <family val="2"/>
      <scheme val="minor"/>
    </font>
    <font>
      <sz val="10"/>
      <color indexed="8"/>
      <name val="Calibri"/>
      <family val="2"/>
      <scheme val="minor"/>
    </font>
    <font>
      <sz val="10"/>
      <color rgb="FF0070C0"/>
      <name val="Calibri"/>
      <family val="2"/>
      <scheme val="minor"/>
    </font>
    <font>
      <b/>
      <sz val="11"/>
      <color rgb="FF0070C0"/>
      <name val="Calibri"/>
      <family val="2"/>
      <scheme val="minor"/>
    </font>
    <font>
      <b/>
      <sz val="10"/>
      <name val="Calibri"/>
      <family val="2"/>
      <scheme val="minor"/>
    </font>
    <font>
      <sz val="11"/>
      <color rgb="FF0070C0"/>
      <name val="Calibri"/>
      <family val="2"/>
      <scheme val="minor"/>
    </font>
    <font>
      <sz val="10"/>
      <color indexed="8"/>
      <name val="Arial"/>
      <family val="2"/>
    </font>
    <font>
      <b/>
      <sz val="10"/>
      <color rgb="FFFF0000"/>
      <name val="Calibri"/>
      <family val="2"/>
      <scheme val="minor"/>
    </font>
    <font>
      <b/>
      <u/>
      <sz val="11"/>
      <color rgb="FF0070C0"/>
      <name val="Calibri"/>
      <family val="2"/>
      <scheme val="minor"/>
    </font>
    <font>
      <b/>
      <u/>
      <sz val="11"/>
      <color theme="4" tint="-0.249977111117893"/>
      <name val="Calibri"/>
      <family val="2"/>
      <scheme val="minor"/>
    </font>
    <font>
      <sz val="11"/>
      <color rgb="FF002060"/>
      <name val="Calibri"/>
      <family val="2"/>
      <scheme val="minor"/>
    </font>
    <font>
      <sz val="8"/>
      <color theme="1"/>
      <name val="Calibri"/>
      <family val="2"/>
      <scheme val="minor"/>
    </font>
    <font>
      <b/>
      <sz val="8"/>
      <color theme="1"/>
      <name val="Calibri"/>
      <family val="2"/>
      <scheme val="minor"/>
    </font>
    <font>
      <sz val="11"/>
      <color rgb="FF000000"/>
      <name val="Calibri"/>
      <family val="2"/>
      <scheme val="minor"/>
    </font>
    <font>
      <b/>
      <sz val="9"/>
      <color theme="0"/>
      <name val="Calibri"/>
      <family val="2"/>
      <scheme val="minor"/>
    </font>
    <font>
      <sz val="11"/>
      <color rgb="FF00B050"/>
      <name val="Calibri"/>
      <family val="2"/>
      <scheme val="minor"/>
    </font>
    <font>
      <b/>
      <sz val="9"/>
      <color rgb="FFFF0000"/>
      <name val="Calibri"/>
      <family val="2"/>
      <scheme val="minor"/>
    </font>
    <font>
      <b/>
      <sz val="8"/>
      <name val="Calibri"/>
      <family val="2"/>
      <scheme val="minor"/>
    </font>
    <font>
      <b/>
      <sz val="8"/>
      <color rgb="FFFF0000"/>
      <name val="Calibri"/>
      <family val="2"/>
      <scheme val="minor"/>
    </font>
    <font>
      <b/>
      <sz val="7"/>
      <color rgb="FFFF0000"/>
      <name val="Calibri"/>
      <family val="2"/>
      <scheme val="minor"/>
    </font>
    <font>
      <sz val="11"/>
      <color indexed="8"/>
      <name val="Calibri"/>
      <family val="2"/>
      <scheme val="minor"/>
    </font>
    <font>
      <sz val="8"/>
      <name val="Calibri"/>
      <family val="2"/>
      <scheme val="minor"/>
    </font>
    <font>
      <sz val="11"/>
      <color rgb="FFFF0000"/>
      <name val="Calibri"/>
      <family val="2"/>
      <scheme val="minor"/>
    </font>
    <font>
      <b/>
      <sz val="11"/>
      <color rgb="FF000000"/>
      <name val="Calibri"/>
      <family val="2"/>
      <scheme val="minor"/>
    </font>
    <font>
      <sz val="11"/>
      <color rgb="FF242424"/>
      <name val="Segoe UI"/>
      <family val="2"/>
    </font>
    <font>
      <sz val="10"/>
      <color rgb="FF000000"/>
      <name val="Calibri"/>
      <family val="2"/>
      <scheme val="minor"/>
    </font>
    <font>
      <b/>
      <sz val="12"/>
      <color rgb="FFFF0000"/>
      <name val="Calibri"/>
      <family val="2"/>
      <scheme val="minor"/>
    </font>
  </fonts>
  <fills count="21">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7C80"/>
        <bgColor indexed="64"/>
      </patternFill>
    </fill>
    <fill>
      <patternFill patternType="solid">
        <fgColor rgb="FFFFCCCC"/>
        <bgColor indexed="64"/>
      </patternFill>
    </fill>
    <fill>
      <patternFill patternType="solid">
        <fgColor indexed="31"/>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FFF2CC"/>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FFF2CC"/>
        <bgColor rgb="FFFFF2CC"/>
      </patternFill>
    </fill>
    <fill>
      <patternFill patternType="solid">
        <fgColor rgb="FFE2EFDA"/>
        <bgColor rgb="FFE2EFDA"/>
      </patternFill>
    </fill>
  </fills>
  <borders count="140">
    <border>
      <left/>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right/>
      <top style="thin">
        <color theme="8"/>
      </top>
      <bottom/>
      <diagonal/>
    </border>
    <border>
      <left style="thin">
        <color indexed="64"/>
      </left>
      <right style="thin">
        <color indexed="64"/>
      </right>
      <top style="thin">
        <color theme="8"/>
      </top>
      <bottom/>
      <diagonal/>
    </border>
    <border>
      <left style="thin">
        <color theme="9"/>
      </left>
      <right/>
      <top style="thin">
        <color theme="9"/>
      </top>
      <bottom/>
      <diagonal/>
    </border>
    <border>
      <left/>
      <right/>
      <top style="thin">
        <color theme="9"/>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theme="1"/>
      </left>
      <right style="medium">
        <color theme="1"/>
      </right>
      <top style="medium">
        <color theme="1"/>
      </top>
      <bottom style="medium">
        <color theme="1"/>
      </bottom>
      <diagonal/>
    </border>
    <border>
      <left style="thin">
        <color theme="9"/>
      </left>
      <right style="thin">
        <color theme="9"/>
      </right>
      <top style="thin">
        <color theme="9"/>
      </top>
      <bottom/>
      <diagonal/>
    </border>
    <border>
      <left style="thin">
        <color indexed="64"/>
      </left>
      <right style="thin">
        <color auto="1"/>
      </right>
      <top style="thin">
        <color auto="1"/>
      </top>
      <bottom/>
      <diagonal/>
    </border>
    <border>
      <left style="thin">
        <color indexed="64"/>
      </left>
      <right style="thin">
        <color indexed="64"/>
      </right>
      <top style="thin">
        <color indexed="64"/>
      </top>
      <bottom style="thin">
        <color auto="1"/>
      </bottom>
      <diagonal/>
    </border>
    <border>
      <left/>
      <right/>
      <top style="medium">
        <color auto="1"/>
      </top>
      <bottom/>
      <diagonal/>
    </border>
    <border>
      <left/>
      <right style="medium">
        <color auto="1"/>
      </right>
      <top style="medium">
        <color auto="1"/>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right style="thin">
        <color indexed="64"/>
      </right>
      <top style="medium">
        <color indexed="64"/>
      </top>
      <bottom style="medium">
        <color indexed="64"/>
      </bottom>
      <diagonal/>
    </border>
    <border>
      <left style="medium">
        <color indexed="64"/>
      </left>
      <right style="medium">
        <color indexed="64"/>
      </right>
      <top style="thin">
        <color auto="1"/>
      </top>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medium">
        <color auto="1"/>
      </left>
      <right/>
      <top style="medium">
        <color auto="1"/>
      </top>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auto="1"/>
      </bottom>
      <diagonal/>
    </border>
    <border>
      <left/>
      <right/>
      <top style="thin">
        <color theme="6"/>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medium">
        <color indexed="64"/>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medium">
        <color indexed="64"/>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rgb="FFFFC000"/>
      </right>
      <top style="thin">
        <color rgb="FFFFC000"/>
      </top>
      <bottom style="thin">
        <color rgb="FFFFC000"/>
      </bottom>
      <diagonal/>
    </border>
    <border>
      <left/>
      <right style="thin">
        <color rgb="FFFFC000"/>
      </right>
      <top style="thin">
        <color rgb="FFFFC000"/>
      </top>
      <bottom/>
      <diagonal/>
    </border>
    <border>
      <left style="thin">
        <color rgb="FFFFC000"/>
      </left>
      <right style="thin">
        <color rgb="FFFFC000"/>
      </right>
      <top style="thin">
        <color rgb="FFFFC000"/>
      </top>
      <bottom/>
      <diagonal/>
    </border>
    <border>
      <left style="thin">
        <color auto="1"/>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auto="1"/>
      </top>
      <bottom style="thin">
        <color auto="1"/>
      </bottom>
      <diagonal/>
    </border>
    <border>
      <left style="thin">
        <color indexed="64"/>
      </left>
      <right style="medium">
        <color indexed="64"/>
      </right>
      <top style="thin">
        <color indexed="64"/>
      </top>
      <bottom style="thin">
        <color auto="1"/>
      </bottom>
      <diagonal/>
    </border>
    <border>
      <left style="thin">
        <color indexed="64"/>
      </left>
      <right style="medium">
        <color indexed="64"/>
      </right>
      <top style="thin">
        <color auto="1"/>
      </top>
      <bottom/>
      <diagonal/>
    </border>
    <border>
      <left/>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right style="medium">
        <color auto="1"/>
      </right>
      <top/>
      <bottom style="medium">
        <color auto="1"/>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auto="1"/>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s>
  <cellStyleXfs count="11">
    <xf numFmtId="0" fontId="0" fillId="0" borderId="0"/>
    <xf numFmtId="0" fontId="8" fillId="0" borderId="0" applyNumberFormat="0" applyFill="0" applyBorder="0" applyAlignment="0" applyProtection="0"/>
    <xf numFmtId="0" fontId="10" fillId="8" borderId="0" applyNumberFormat="0" applyBorder="0" applyAlignment="0" applyProtection="0"/>
    <xf numFmtId="0" fontId="12" fillId="0" borderId="0"/>
    <xf numFmtId="165" fontId="12" fillId="0" borderId="0" applyBorder="0" applyProtection="0"/>
    <xf numFmtId="167" fontId="12" fillId="0" borderId="0" applyBorder="0" applyProtection="0"/>
    <xf numFmtId="0" fontId="17" fillId="0" borderId="0" applyBorder="0" applyProtection="0"/>
    <xf numFmtId="44" fontId="30" fillId="0" borderId="0" applyFont="0" applyFill="0" applyBorder="0" applyAlignment="0" applyProtection="0"/>
    <xf numFmtId="0" fontId="17" fillId="0" borderId="0" applyBorder="0" applyProtection="0"/>
    <xf numFmtId="0" fontId="46" fillId="0" borderId="0"/>
    <xf numFmtId="0" fontId="17" fillId="0" borderId="0"/>
  </cellStyleXfs>
  <cellXfs count="985">
    <xf numFmtId="0" fontId="0" fillId="0" borderId="0" xfId="0"/>
    <xf numFmtId="0" fontId="2" fillId="0" borderId="0" xfId="0" applyFont="1"/>
    <xf numFmtId="0" fontId="1" fillId="2" borderId="0" xfId="0" applyFont="1" applyFill="1"/>
    <xf numFmtId="0" fontId="0" fillId="3" borderId="0" xfId="0" applyFill="1"/>
    <xf numFmtId="0" fontId="0" fillId="4" borderId="0" xfId="0" applyFill="1"/>
    <xf numFmtId="0" fontId="3" fillId="0" borderId="0" xfId="0" applyFont="1"/>
    <xf numFmtId="0" fontId="1" fillId="0" borderId="0" xfId="0" applyFont="1"/>
    <xf numFmtId="0" fontId="4" fillId="0" borderId="0" xfId="0" applyFont="1"/>
    <xf numFmtId="0" fontId="1" fillId="5" borderId="0" xfId="0" applyFont="1" applyFill="1"/>
    <xf numFmtId="0" fontId="0" fillId="6" borderId="0" xfId="0" applyFill="1"/>
    <xf numFmtId="0" fontId="0" fillId="7" borderId="0" xfId="0" applyFill="1"/>
    <xf numFmtId="0" fontId="5" fillId="0" borderId="0" xfId="0" applyFont="1"/>
    <xf numFmtId="0" fontId="8" fillId="3" borderId="0" xfId="1" applyFill="1"/>
    <xf numFmtId="0" fontId="8" fillId="7" borderId="0" xfId="1" applyFill="1"/>
    <xf numFmtId="164" fontId="0" fillId="0" borderId="0" xfId="0" applyNumberFormat="1"/>
    <xf numFmtId="164" fontId="3" fillId="0" borderId="0" xfId="0" applyNumberFormat="1" applyFont="1"/>
    <xf numFmtId="164" fontId="1" fillId="0" borderId="0" xfId="0" applyNumberFormat="1" applyFont="1"/>
    <xf numFmtId="164" fontId="0" fillId="4" borderId="0" xfId="0" applyNumberFormat="1" applyFill="1"/>
    <xf numFmtId="164" fontId="0" fillId="3" borderId="0" xfId="0" applyNumberFormat="1" applyFill="1"/>
    <xf numFmtId="164" fontId="1" fillId="5" borderId="0" xfId="0" applyNumberFormat="1" applyFont="1" applyFill="1"/>
    <xf numFmtId="164" fontId="0" fillId="6" borderId="0" xfId="0" applyNumberFormat="1" applyFill="1"/>
    <xf numFmtId="164" fontId="0" fillId="7" borderId="0" xfId="0" applyNumberFormat="1" applyFill="1"/>
    <xf numFmtId="0" fontId="4" fillId="0" borderId="0" xfId="0" applyFont="1" applyAlignment="1">
      <alignment vertical="center"/>
    </xf>
    <xf numFmtId="164" fontId="1" fillId="2" borderId="0" xfId="0" applyNumberFormat="1" applyFont="1" applyFill="1"/>
    <xf numFmtId="0" fontId="13" fillId="0" borderId="0" xfId="0" applyFont="1"/>
    <xf numFmtId="164" fontId="13" fillId="0" borderId="0" xfId="0" applyNumberFormat="1" applyFont="1"/>
    <xf numFmtId="0" fontId="0" fillId="0" borderId="13" xfId="0" applyBorder="1" applyAlignment="1">
      <alignment wrapText="1"/>
    </xf>
    <xf numFmtId="164" fontId="0" fillId="7" borderId="14" xfId="0" applyNumberFormat="1" applyFill="1" applyBorder="1"/>
    <xf numFmtId="164" fontId="0" fillId="3" borderId="14" xfId="0" applyNumberFormat="1" applyFill="1" applyBorder="1"/>
    <xf numFmtId="0" fontId="0" fillId="0" borderId="12" xfId="0" applyBorder="1" applyAlignment="1">
      <alignment horizontal="center" wrapText="1"/>
    </xf>
    <xf numFmtId="0" fontId="0" fillId="0" borderId="0" xfId="0" applyAlignment="1">
      <alignment vertical="center"/>
    </xf>
    <xf numFmtId="0" fontId="1" fillId="0" borderId="0" xfId="0" applyFont="1" applyAlignment="1">
      <alignment wrapText="1"/>
    </xf>
    <xf numFmtId="0" fontId="0" fillId="0" borderId="3" xfId="0" applyBorder="1"/>
    <xf numFmtId="0" fontId="0" fillId="0" borderId="19" xfId="0" applyBorder="1"/>
    <xf numFmtId="0" fontId="0" fillId="0" borderId="6" xfId="0" applyBorder="1"/>
    <xf numFmtId="0" fontId="0" fillId="0" borderId="14" xfId="0" applyBorder="1" applyAlignment="1">
      <alignment wrapText="1"/>
    </xf>
    <xf numFmtId="0" fontId="0" fillId="0" borderId="14" xfId="0" applyBorder="1" applyAlignment="1">
      <alignment horizontal="center" wrapText="1"/>
    </xf>
    <xf numFmtId="0" fontId="0" fillId="0" borderId="5" xfId="0" applyBorder="1" applyAlignment="1">
      <alignment wrapText="1"/>
    </xf>
    <xf numFmtId="0" fontId="0" fillId="0" borderId="20" xfId="0" applyBorder="1" applyAlignment="1">
      <alignment wrapText="1"/>
    </xf>
    <xf numFmtId="164" fontId="0" fillId="7" borderId="9" xfId="0" applyNumberFormat="1" applyFill="1" applyBorder="1"/>
    <xf numFmtId="164" fontId="0" fillId="7" borderId="10" xfId="0" applyNumberFormat="1" applyFill="1" applyBorder="1"/>
    <xf numFmtId="164" fontId="0" fillId="3" borderId="10" xfId="0" applyNumberFormat="1" applyFill="1" applyBorder="1"/>
    <xf numFmtId="164" fontId="0" fillId="3" borderId="11" xfId="0" applyNumberFormat="1" applyFill="1" applyBorder="1"/>
    <xf numFmtId="164" fontId="0" fillId="0" borderId="14" xfId="0" applyNumberFormat="1" applyBorder="1"/>
    <xf numFmtId="164" fontId="1" fillId="0" borderId="15" xfId="0" applyNumberFormat="1" applyFont="1" applyBorder="1"/>
    <xf numFmtId="164" fontId="4" fillId="7" borderId="10" xfId="0" applyNumberFormat="1" applyFont="1" applyFill="1" applyBorder="1"/>
    <xf numFmtId="164" fontId="4" fillId="3" borderId="11" xfId="0" applyNumberFormat="1" applyFont="1" applyFill="1" applyBorder="1"/>
    <xf numFmtId="0" fontId="5" fillId="0" borderId="0" xfId="0" applyFont="1" applyAlignment="1">
      <alignment vertical="top"/>
    </xf>
    <xf numFmtId="0" fontId="5" fillId="0" borderId="0" xfId="0" applyFont="1" applyAlignment="1">
      <alignment vertical="top" wrapText="1"/>
    </xf>
    <xf numFmtId="0" fontId="0" fillId="0" borderId="19" xfId="0" applyBorder="1" applyAlignment="1">
      <alignment horizontal="center" wrapText="1"/>
    </xf>
    <xf numFmtId="0" fontId="0" fillId="0" borderId="4" xfId="0" applyBorder="1" applyAlignment="1">
      <alignment wrapText="1"/>
    </xf>
    <xf numFmtId="0" fontId="0" fillId="0" borderId="19" xfId="0" applyBorder="1" applyAlignment="1">
      <alignment wrapText="1"/>
    </xf>
    <xf numFmtId="164" fontId="0" fillId="7" borderId="10" xfId="0" applyNumberFormat="1" applyFill="1" applyBorder="1" applyAlignment="1">
      <alignment wrapText="1"/>
    </xf>
    <xf numFmtId="0" fontId="0" fillId="0" borderId="3" xfId="0" applyBorder="1" applyAlignment="1">
      <alignment horizontal="center" wrapText="1"/>
    </xf>
    <xf numFmtId="0" fontId="0" fillId="0" borderId="3" xfId="0" applyBorder="1" applyAlignment="1">
      <alignment wrapText="1"/>
    </xf>
    <xf numFmtId="164" fontId="8" fillId="0" borderId="6" xfId="0" applyNumberFormat="1" applyFont="1" applyBorder="1" applyAlignment="1">
      <alignment wrapText="1"/>
    </xf>
    <xf numFmtId="0" fontId="0" fillId="0" borderId="27" xfId="0" applyBorder="1" applyAlignment="1">
      <alignment wrapText="1"/>
    </xf>
    <xf numFmtId="0" fontId="1" fillId="0" borderId="28" xfId="0" applyFont="1" applyBorder="1" applyAlignment="1">
      <alignment wrapText="1"/>
    </xf>
    <xf numFmtId="0" fontId="8" fillId="0" borderId="24" xfId="1" applyBorder="1" applyAlignment="1">
      <alignment horizontal="center" wrapText="1"/>
    </xf>
    <xf numFmtId="0" fontId="8" fillId="0" borderId="24" xfId="1" applyBorder="1" applyAlignment="1">
      <alignment wrapText="1"/>
    </xf>
    <xf numFmtId="0" fontId="0" fillId="0" borderId="18" xfId="0" applyBorder="1" applyAlignment="1">
      <alignment wrapText="1"/>
    </xf>
    <xf numFmtId="0" fontId="7" fillId="0" borderId="0" xfId="0" applyFont="1"/>
    <xf numFmtId="0" fontId="11" fillId="0" borderId="0" xfId="0" applyFont="1" applyAlignment="1">
      <alignment horizontal="left" vertical="top"/>
    </xf>
    <xf numFmtId="0" fontId="11" fillId="0" borderId="0" xfId="0" applyFont="1" applyAlignment="1" applyProtection="1">
      <alignment horizontal="left" vertical="top"/>
      <protection locked="0"/>
    </xf>
    <xf numFmtId="0" fontId="6" fillId="0" borderId="0" xfId="0" applyFont="1" applyAlignment="1" applyProtection="1">
      <alignment horizontal="left" vertical="top"/>
      <protection locked="0"/>
    </xf>
    <xf numFmtId="0" fontId="14" fillId="0" borderId="0" xfId="0" applyFont="1" applyAlignment="1">
      <alignment horizontal="right" vertical="top"/>
    </xf>
    <xf numFmtId="0" fontId="6" fillId="0" borderId="0" xfId="0" applyFont="1" applyAlignment="1">
      <alignment horizontal="left" vertical="top"/>
    </xf>
    <xf numFmtId="0" fontId="0" fillId="0" borderId="0" xfId="0" applyProtection="1">
      <protection locked="0"/>
    </xf>
    <xf numFmtId="0" fontId="0" fillId="9" borderId="0" xfId="0" applyFill="1" applyProtection="1">
      <protection locked="0"/>
    </xf>
    <xf numFmtId="0" fontId="0" fillId="0" borderId="13" xfId="0" applyBorder="1" applyAlignment="1">
      <alignment horizontal="right" wrapText="1"/>
    </xf>
    <xf numFmtId="0" fontId="4" fillId="0" borderId="0" xfId="0" applyFont="1" applyAlignment="1">
      <alignment horizontal="right"/>
    </xf>
    <xf numFmtId="0" fontId="0" fillId="0" borderId="28" xfId="0" applyBorder="1" applyAlignment="1">
      <alignment horizontal="right" wrapText="1"/>
    </xf>
    <xf numFmtId="0" fontId="8" fillId="0" borderId="18" xfId="1" applyBorder="1" applyAlignment="1">
      <alignment horizontal="center" wrapText="1"/>
    </xf>
    <xf numFmtId="164" fontId="8" fillId="7" borderId="10" xfId="1" applyNumberFormat="1" applyFill="1" applyBorder="1" applyAlignment="1">
      <alignment wrapText="1"/>
    </xf>
    <xf numFmtId="0" fontId="18" fillId="0" borderId="0" xfId="6" applyFont="1" applyBorder="1" applyProtection="1"/>
    <xf numFmtId="0" fontId="19" fillId="0" borderId="0" xfId="6" applyFont="1" applyBorder="1" applyProtection="1"/>
    <xf numFmtId="3" fontId="0" fillId="0" borderId="13" xfId="0" applyNumberFormat="1" applyBorder="1" applyProtection="1">
      <protection locked="0"/>
    </xf>
    <xf numFmtId="0" fontId="20" fillId="4" borderId="9" xfId="0" applyFont="1" applyFill="1" applyBorder="1"/>
    <xf numFmtId="0" fontId="20" fillId="4" borderId="10" xfId="0" applyFont="1" applyFill="1" applyBorder="1"/>
    <xf numFmtId="0" fontId="20" fillId="6" borderId="10" xfId="0" applyFont="1" applyFill="1" applyBorder="1"/>
    <xf numFmtId="0" fontId="20" fillId="6" borderId="11" xfId="0" applyFont="1" applyFill="1" applyBorder="1"/>
    <xf numFmtId="0" fontId="21" fillId="0" borderId="13" xfId="0" applyFont="1" applyBorder="1" applyAlignment="1">
      <alignment wrapText="1"/>
    </xf>
    <xf numFmtId="0" fontId="21" fillId="0" borderId="37" xfId="0" applyFont="1" applyBorder="1"/>
    <xf numFmtId="0" fontId="21" fillId="0" borderId="23" xfId="0" applyFont="1" applyBorder="1" applyAlignment="1">
      <alignment horizontal="right"/>
    </xf>
    <xf numFmtId="0" fontId="21" fillId="0" borderId="0" xfId="0" applyFont="1"/>
    <xf numFmtId="0" fontId="21" fillId="0" borderId="0" xfId="0" applyFont="1" applyAlignment="1">
      <alignment horizontal="center" wrapText="1"/>
    </xf>
    <xf numFmtId="164" fontId="20" fillId="0" borderId="31" xfId="0" applyNumberFormat="1" applyFont="1" applyBorder="1" applyAlignment="1">
      <alignment horizontal="left"/>
    </xf>
    <xf numFmtId="0" fontId="21" fillId="0" borderId="0" xfId="0" applyFont="1" applyAlignment="1">
      <alignment horizontal="left" wrapText="1"/>
    </xf>
    <xf numFmtId="0" fontId="21" fillId="0" borderId="20" xfId="0" applyFont="1" applyBorder="1" applyAlignment="1">
      <alignment horizontal="center" wrapText="1"/>
    </xf>
    <xf numFmtId="0" fontId="21" fillId="0" borderId="21" xfId="0" applyFont="1" applyBorder="1" applyAlignment="1">
      <alignment horizontal="center" wrapText="1"/>
    </xf>
    <xf numFmtId="3" fontId="21" fillId="0" borderId="14" xfId="0" applyNumberFormat="1" applyFont="1" applyBorder="1"/>
    <xf numFmtId="0" fontId="21" fillId="9" borderId="0" xfId="0" applyFont="1" applyFill="1"/>
    <xf numFmtId="0" fontId="21" fillId="0" borderId="14" xfId="0" applyFont="1" applyBorder="1"/>
    <xf numFmtId="0" fontId="21" fillId="0" borderId="0" xfId="0" applyFont="1" applyAlignment="1">
      <alignment horizontal="right"/>
    </xf>
    <xf numFmtId="0" fontId="20" fillId="0" borderId="32" xfId="0" applyFont="1" applyBorder="1"/>
    <xf numFmtId="0" fontId="20" fillId="6" borderId="34" xfId="0" applyFont="1" applyFill="1" applyBorder="1"/>
    <xf numFmtId="0" fontId="20" fillId="6" borderId="35" xfId="0" applyFont="1" applyFill="1" applyBorder="1"/>
    <xf numFmtId="0" fontId="20" fillId="6" borderId="36" xfId="0" applyFont="1" applyFill="1" applyBorder="1"/>
    <xf numFmtId="0" fontId="20" fillId="0" borderId="0" xfId="0" applyFont="1" applyAlignment="1">
      <alignment wrapText="1"/>
    </xf>
    <xf numFmtId="0" fontId="21" fillId="10" borderId="0" xfId="0" applyFont="1" applyFill="1"/>
    <xf numFmtId="0" fontId="9" fillId="0" borderId="0" xfId="0" applyFont="1" applyAlignment="1" applyProtection="1">
      <alignment horizontal="left" vertical="top"/>
      <protection locked="0"/>
    </xf>
    <xf numFmtId="164" fontId="0" fillId="0" borderId="20" xfId="0" applyNumberFormat="1" applyBorder="1" applyProtection="1">
      <protection locked="0"/>
    </xf>
    <xf numFmtId="164" fontId="0" fillId="0" borderId="0" xfId="0" applyNumberFormat="1" applyProtection="1">
      <protection locked="0"/>
    </xf>
    <xf numFmtId="164" fontId="0" fillId="0" borderId="21" xfId="0" applyNumberFormat="1" applyBorder="1"/>
    <xf numFmtId="164" fontId="0" fillId="9" borderId="20" xfId="0" applyNumberFormat="1" applyFill="1" applyBorder="1" applyProtection="1">
      <protection locked="0"/>
    </xf>
    <xf numFmtId="164" fontId="0" fillId="9" borderId="0" xfId="0" applyNumberFormat="1" applyFill="1" applyProtection="1">
      <protection locked="0"/>
    </xf>
    <xf numFmtId="164" fontId="0" fillId="9" borderId="21" xfId="0" applyNumberFormat="1" applyFill="1" applyBorder="1"/>
    <xf numFmtId="164" fontId="1" fillId="0" borderId="20" xfId="0" applyNumberFormat="1" applyFont="1" applyBorder="1" applyProtection="1">
      <protection locked="0"/>
    </xf>
    <xf numFmtId="164" fontId="1" fillId="0" borderId="0" xfId="0" applyNumberFormat="1" applyFont="1" applyProtection="1">
      <protection locked="0"/>
    </xf>
    <xf numFmtId="0" fontId="0" fillId="0" borderId="21" xfId="0" applyBorder="1" applyProtection="1">
      <protection locked="0"/>
    </xf>
    <xf numFmtId="164" fontId="21" fillId="0" borderId="20" xfId="0" applyNumberFormat="1" applyFont="1" applyBorder="1"/>
    <xf numFmtId="164" fontId="21" fillId="0" borderId="0" xfId="0" applyNumberFormat="1" applyFont="1"/>
    <xf numFmtId="164" fontId="21" fillId="9" borderId="22" xfId="0" applyNumberFormat="1" applyFont="1" applyFill="1" applyBorder="1"/>
    <xf numFmtId="164" fontId="21" fillId="9" borderId="23" xfId="0" applyNumberFormat="1" applyFont="1" applyFill="1" applyBorder="1"/>
    <xf numFmtId="164" fontId="21" fillId="10" borderId="20" xfId="0" applyNumberFormat="1" applyFont="1" applyFill="1" applyBorder="1"/>
    <xf numFmtId="164" fontId="21" fillId="10" borderId="0" xfId="0" applyNumberFormat="1" applyFont="1" applyFill="1"/>
    <xf numFmtId="164" fontId="0" fillId="0" borderId="40" xfId="0" applyNumberFormat="1" applyBorder="1"/>
    <xf numFmtId="164" fontId="0" fillId="0" borderId="26" xfId="0" applyNumberFormat="1" applyBorder="1"/>
    <xf numFmtId="0" fontId="0" fillId="0" borderId="0" xfId="0" applyAlignment="1">
      <alignment horizontal="right"/>
    </xf>
    <xf numFmtId="0" fontId="21" fillId="0" borderId="15" xfId="0" applyFont="1" applyBorder="1" applyAlignment="1">
      <alignment horizontal="center" wrapText="1"/>
    </xf>
    <xf numFmtId="0" fontId="20" fillId="0" borderId="41" xfId="0" applyFont="1" applyBorder="1"/>
    <xf numFmtId="0" fontId="0" fillId="0" borderId="41" xfId="0" applyBorder="1"/>
    <xf numFmtId="0" fontId="20" fillId="0" borderId="30" xfId="0" applyFont="1" applyBorder="1" applyAlignment="1">
      <alignment horizontal="right"/>
    </xf>
    <xf numFmtId="0" fontId="20" fillId="0" borderId="0" xfId="0" applyFont="1" applyAlignment="1">
      <alignment horizontal="left" wrapText="1"/>
    </xf>
    <xf numFmtId="0" fontId="20" fillId="0" borderId="33" xfId="0" applyFont="1" applyBorder="1" applyAlignment="1">
      <alignment horizontal="right"/>
    </xf>
    <xf numFmtId="0" fontId="0" fillId="0" borderId="7" xfId="0" applyBorder="1" applyAlignment="1">
      <alignment horizontal="right"/>
    </xf>
    <xf numFmtId="0" fontId="6" fillId="0" borderId="0" xfId="2" applyFont="1" applyFill="1" applyBorder="1" applyAlignment="1" applyProtection="1">
      <alignment horizontal="left" vertical="top"/>
    </xf>
    <xf numFmtId="0" fontId="23" fillId="0" borderId="0" xfId="0" applyFont="1"/>
    <xf numFmtId="0" fontId="23" fillId="2" borderId="0" xfId="0" applyFont="1" applyFill="1"/>
    <xf numFmtId="0" fontId="24" fillId="4" borderId="0" xfId="0" applyFont="1" applyFill="1"/>
    <xf numFmtId="0" fontId="24" fillId="3" borderId="0" xfId="0" applyFont="1" applyFill="1"/>
    <xf numFmtId="0" fontId="24" fillId="0" borderId="0" xfId="0" applyFont="1"/>
    <xf numFmtId="0" fontId="23" fillId="5" borderId="0" xfId="0" applyFont="1" applyFill="1"/>
    <xf numFmtId="0" fontId="24" fillId="6" borderId="0" xfId="0" applyFont="1" applyFill="1"/>
    <xf numFmtId="0" fontId="24" fillId="7" borderId="0" xfId="0" applyFont="1" applyFill="1"/>
    <xf numFmtId="0" fontId="24" fillId="7" borderId="0" xfId="0" applyFont="1" applyFill="1" applyAlignment="1">
      <alignment horizontal="left" indent="1"/>
    </xf>
    <xf numFmtId="0" fontId="24" fillId="7" borderId="0" xfId="0" applyFont="1" applyFill="1" applyAlignment="1">
      <alignment horizontal="left"/>
    </xf>
    <xf numFmtId="0" fontId="1" fillId="2" borderId="0" xfId="0" applyFont="1" applyFill="1" applyAlignment="1">
      <alignment horizontal="right"/>
    </xf>
    <xf numFmtId="0" fontId="1" fillId="5" borderId="0" xfId="0" applyFont="1" applyFill="1" applyAlignment="1">
      <alignment horizontal="right"/>
    </xf>
    <xf numFmtId="0" fontId="4" fillId="2" borderId="0" xfId="0" applyFont="1" applyFill="1" applyAlignment="1">
      <alignment horizontal="right"/>
    </xf>
    <xf numFmtId="0" fontId="4" fillId="12" borderId="0" xfId="0" applyFont="1" applyFill="1" applyAlignment="1">
      <alignment horizontal="right"/>
    </xf>
    <xf numFmtId="164" fontId="4" fillId="2" borderId="0" xfId="0" applyNumberFormat="1" applyFont="1" applyFill="1"/>
    <xf numFmtId="164" fontId="0" fillId="2" borderId="0" xfId="0" applyNumberFormat="1" applyFill="1"/>
    <xf numFmtId="164" fontId="4" fillId="5" borderId="0" xfId="0" applyNumberFormat="1" applyFont="1" applyFill="1"/>
    <xf numFmtId="164" fontId="0" fillId="5" borderId="0" xfId="0" applyNumberFormat="1" applyFill="1"/>
    <xf numFmtId="164" fontId="4" fillId="12" borderId="0" xfId="0" applyNumberFormat="1" applyFont="1" applyFill="1"/>
    <xf numFmtId="164" fontId="0" fillId="12" borderId="0" xfId="0" applyNumberFormat="1" applyFill="1"/>
    <xf numFmtId="164" fontId="26" fillId="4" borderId="9" xfId="0" applyNumberFormat="1" applyFont="1" applyFill="1" applyBorder="1" applyAlignment="1">
      <alignment horizontal="right" vertical="top"/>
    </xf>
    <xf numFmtId="164" fontId="27" fillId="4" borderId="11" xfId="0" applyNumberFormat="1" applyFont="1" applyFill="1" applyBorder="1" applyAlignment="1">
      <alignment horizontal="right" vertical="top"/>
    </xf>
    <xf numFmtId="164" fontId="26" fillId="0" borderId="13" xfId="2" applyNumberFormat="1" applyFont="1" applyFill="1" applyBorder="1" applyAlignment="1" applyProtection="1">
      <alignment horizontal="right" vertical="top"/>
    </xf>
    <xf numFmtId="164" fontId="6" fillId="0" borderId="13" xfId="2" applyNumberFormat="1" applyFont="1" applyFill="1" applyBorder="1" applyAlignment="1" applyProtection="1">
      <alignment horizontal="right" vertical="top"/>
    </xf>
    <xf numFmtId="164" fontId="6" fillId="6" borderId="39" xfId="0" applyNumberFormat="1" applyFont="1" applyFill="1" applyBorder="1" applyAlignment="1">
      <alignment horizontal="right" vertical="top"/>
    </xf>
    <xf numFmtId="49" fontId="1" fillId="0" borderId="4" xfId="0" applyNumberFormat="1" applyFont="1" applyBorder="1" applyAlignment="1">
      <alignment horizontal="left" vertical="center"/>
    </xf>
    <xf numFmtId="0" fontId="0" fillId="0" borderId="0" xfId="0" applyAlignment="1">
      <alignment wrapText="1"/>
    </xf>
    <xf numFmtId="0" fontId="0" fillId="0" borderId="0" xfId="0" applyAlignment="1">
      <alignment horizontal="center" wrapText="1"/>
    </xf>
    <xf numFmtId="0" fontId="6" fillId="0" borderId="4" xfId="2" applyFont="1" applyFill="1" applyBorder="1" applyAlignment="1" applyProtection="1">
      <alignment horizontal="left" vertical="top"/>
      <protection locked="0"/>
    </xf>
    <xf numFmtId="0" fontId="6" fillId="0" borderId="14" xfId="2" applyFont="1" applyFill="1" applyBorder="1" applyAlignment="1" applyProtection="1">
      <alignment horizontal="left" vertical="top"/>
    </xf>
    <xf numFmtId="0" fontId="26" fillId="4" borderId="4" xfId="0" applyFont="1" applyFill="1" applyBorder="1" applyAlignment="1">
      <alignment horizontal="right" vertical="top"/>
    </xf>
    <xf numFmtId="0" fontId="26" fillId="4" borderId="0" xfId="0" applyFont="1" applyFill="1" applyAlignment="1" applyProtection="1">
      <alignment horizontal="right" vertical="top"/>
      <protection locked="0"/>
    </xf>
    <xf numFmtId="0" fontId="26" fillId="4" borderId="10" xfId="0" applyFont="1" applyFill="1" applyBorder="1" applyAlignment="1" applyProtection="1">
      <alignment horizontal="right" vertical="top"/>
      <protection locked="0"/>
    </xf>
    <xf numFmtId="0" fontId="26" fillId="0" borderId="4" xfId="0" applyFont="1" applyBorder="1" applyAlignment="1">
      <alignment vertical="center"/>
    </xf>
    <xf numFmtId="0" fontId="26" fillId="0" borderId="0" xfId="2" applyFont="1" applyFill="1" applyBorder="1" applyAlignment="1" applyProtection="1">
      <alignment vertical="top"/>
    </xf>
    <xf numFmtId="0" fontId="26" fillId="0" borderId="14" xfId="2" applyFont="1" applyFill="1" applyBorder="1" applyAlignment="1" applyProtection="1">
      <alignment vertical="top"/>
    </xf>
    <xf numFmtId="0" fontId="6" fillId="0" borderId="4" xfId="0" applyFont="1" applyBorder="1" applyAlignment="1" applyProtection="1">
      <alignment horizontal="left" vertical="top"/>
      <protection locked="0"/>
    </xf>
    <xf numFmtId="0" fontId="6" fillId="0" borderId="0" xfId="2" applyFont="1" applyFill="1" applyBorder="1" applyAlignment="1" applyProtection="1">
      <alignment horizontal="left" vertical="top" wrapText="1"/>
    </xf>
    <xf numFmtId="0" fontId="6" fillId="0" borderId="14" xfId="2" applyFont="1" applyFill="1" applyBorder="1" applyAlignment="1" applyProtection="1">
      <alignment horizontal="left" vertical="top" wrapText="1"/>
    </xf>
    <xf numFmtId="0" fontId="6" fillId="0" borderId="14" xfId="0" applyFont="1" applyBorder="1" applyAlignment="1">
      <alignment horizontal="left" vertical="top"/>
    </xf>
    <xf numFmtId="0" fontId="6" fillId="6" borderId="0" xfId="0" applyFont="1" applyFill="1" applyAlignment="1" applyProtection="1">
      <alignment horizontal="left" vertical="top"/>
      <protection locked="0"/>
    </xf>
    <xf numFmtId="0" fontId="6" fillId="6" borderId="0" xfId="0" applyFont="1" applyFill="1" applyAlignment="1">
      <alignment horizontal="left" vertical="top"/>
    </xf>
    <xf numFmtId="0" fontId="6" fillId="6" borderId="0" xfId="0" applyFont="1" applyFill="1" applyAlignment="1">
      <alignment horizontal="right" vertical="top"/>
    </xf>
    <xf numFmtId="0" fontId="6" fillId="6" borderId="10" xfId="0" applyFont="1" applyFill="1" applyBorder="1" applyAlignment="1">
      <alignment horizontal="left" vertical="top"/>
    </xf>
    <xf numFmtId="49" fontId="1" fillId="0" borderId="6" xfId="0" applyNumberFormat="1" applyFont="1" applyBorder="1" applyAlignment="1">
      <alignment horizontal="left" vertical="center"/>
    </xf>
    <xf numFmtId="0" fontId="26" fillId="0" borderId="0" xfId="0" applyFont="1" applyAlignment="1">
      <alignment horizontal="right" vertical="top"/>
    </xf>
    <xf numFmtId="8" fontId="26" fillId="0" borderId="26" xfId="0" applyNumberFormat="1" applyFont="1" applyBorder="1" applyAlignment="1">
      <alignment horizontal="right" vertical="top"/>
    </xf>
    <xf numFmtId="164" fontId="6" fillId="6" borderId="26" xfId="0" applyNumberFormat="1" applyFont="1" applyFill="1" applyBorder="1" applyAlignment="1">
      <alignment horizontal="right" vertical="top"/>
    </xf>
    <xf numFmtId="8" fontId="1" fillId="0" borderId="26" xfId="0" applyNumberFormat="1" applyFont="1" applyBorder="1"/>
    <xf numFmtId="164" fontId="8" fillId="7" borderId="10" xfId="1" applyNumberFormat="1" applyFill="1" applyBorder="1"/>
    <xf numFmtId="0" fontId="3" fillId="0" borderId="0" xfId="0" applyFont="1" applyAlignment="1">
      <alignment horizontal="right"/>
    </xf>
    <xf numFmtId="0" fontId="0" fillId="4" borderId="0" xfId="0" applyFill="1" applyAlignment="1">
      <alignment horizontal="right"/>
    </xf>
    <xf numFmtId="0" fontId="0" fillId="3" borderId="0" xfId="0" applyFill="1" applyAlignment="1">
      <alignment horizontal="right"/>
    </xf>
    <xf numFmtId="0" fontId="13" fillId="0" borderId="0" xfId="0" applyFont="1" applyAlignment="1">
      <alignment horizontal="right"/>
    </xf>
    <xf numFmtId="0" fontId="0" fillId="6" borderId="0" xfId="0" applyFill="1" applyAlignment="1">
      <alignment horizontal="right"/>
    </xf>
    <xf numFmtId="0" fontId="0" fillId="7" borderId="0" xfId="0" applyFill="1" applyAlignment="1">
      <alignment horizontal="right"/>
    </xf>
    <xf numFmtId="0" fontId="0" fillId="7" borderId="0" xfId="0" applyFill="1" applyAlignment="1">
      <alignment horizontal="right" indent="1"/>
    </xf>
    <xf numFmtId="0" fontId="1" fillId="0" borderId="0" xfId="0" applyFont="1" applyAlignment="1">
      <alignment horizontal="left"/>
    </xf>
    <xf numFmtId="0" fontId="23" fillId="0" borderId="0" xfId="0" applyFont="1" applyAlignment="1">
      <alignment horizontal="left"/>
    </xf>
    <xf numFmtId="164" fontId="1" fillId="0" borderId="0" xfId="0" applyNumberFormat="1" applyFont="1" applyAlignment="1">
      <alignment horizontal="left"/>
    </xf>
    <xf numFmtId="0" fontId="0" fillId="0" borderId="0" xfId="0" applyAlignment="1">
      <alignment horizontal="left"/>
    </xf>
    <xf numFmtId="0" fontId="3" fillId="0" borderId="0" xfId="0" applyFont="1" applyAlignment="1">
      <alignment horizontal="left"/>
    </xf>
    <xf numFmtId="0" fontId="2" fillId="0" borderId="0" xfId="0" applyFont="1" applyAlignment="1">
      <alignment horizontal="left"/>
    </xf>
    <xf numFmtId="0" fontId="8" fillId="0" borderId="0" xfId="1" applyFill="1" applyBorder="1" applyAlignment="1" applyProtection="1">
      <alignment horizontal="left" vertical="top"/>
    </xf>
    <xf numFmtId="0" fontId="8" fillId="0" borderId="0" xfId="1" applyFill="1" applyBorder="1" applyAlignment="1">
      <alignment horizontal="left" vertical="top"/>
    </xf>
    <xf numFmtId="0" fontId="8" fillId="0" borderId="0" xfId="1" applyBorder="1" applyAlignment="1">
      <alignment horizontal="left" vertical="top"/>
    </xf>
    <xf numFmtId="164" fontId="8" fillId="7" borderId="9" xfId="1" applyNumberFormat="1" applyFill="1" applyBorder="1"/>
    <xf numFmtId="0" fontId="0" fillId="0" borderId="0" xfId="0" applyAlignment="1">
      <alignment horizontal="left" indent="1"/>
    </xf>
    <xf numFmtId="0" fontId="0" fillId="0" borderId="2" xfId="0" applyBorder="1" applyAlignment="1">
      <alignment horizontal="left" indent="1"/>
    </xf>
    <xf numFmtId="164" fontId="1" fillId="0" borderId="8" xfId="0" applyNumberFormat="1" applyFont="1" applyBorder="1" applyAlignment="1">
      <alignment horizontal="left" indent="1"/>
    </xf>
    <xf numFmtId="0" fontId="5" fillId="0" borderId="0" xfId="0" applyFont="1" applyAlignment="1">
      <alignment horizontal="left" indent="1"/>
    </xf>
    <xf numFmtId="0" fontId="1" fillId="0" borderId="0" xfId="0" applyFont="1" applyAlignment="1">
      <alignment horizontal="left" indent="1"/>
    </xf>
    <xf numFmtId="0" fontId="0" fillId="0" borderId="3" xfId="0" applyBorder="1" applyAlignment="1">
      <alignment horizontal="left" indent="1"/>
    </xf>
    <xf numFmtId="0" fontId="0" fillId="0" borderId="19" xfId="0" applyBorder="1" applyAlignment="1">
      <alignment horizontal="left" indent="1"/>
    </xf>
    <xf numFmtId="0" fontId="0" fillId="0" borderId="6" xfId="0" applyBorder="1" applyAlignment="1">
      <alignment horizontal="left" indent="1"/>
    </xf>
    <xf numFmtId="0" fontId="0" fillId="0" borderId="8" xfId="0" applyBorder="1" applyAlignment="1">
      <alignment horizontal="left" indent="1"/>
    </xf>
    <xf numFmtId="0" fontId="0" fillId="0" borderId="43" xfId="0" applyBorder="1" applyAlignment="1">
      <alignment horizontal="left" indent="1"/>
    </xf>
    <xf numFmtId="0" fontId="0" fillId="0" borderId="0" xfId="0" applyAlignment="1">
      <alignment horizontal="right" indent="1"/>
    </xf>
    <xf numFmtId="0" fontId="0" fillId="0" borderId="19" xfId="0" applyBorder="1" applyAlignment="1">
      <alignment horizontal="right" indent="1"/>
    </xf>
    <xf numFmtId="164" fontId="0" fillId="0" borderId="43" xfId="0" applyNumberFormat="1" applyBorder="1" applyAlignment="1">
      <alignment horizontal="right" indent="1"/>
    </xf>
    <xf numFmtId="0" fontId="20" fillId="0" borderId="1" xfId="0" applyFont="1" applyBorder="1" applyAlignment="1">
      <alignment vertical="top" wrapText="1"/>
    </xf>
    <xf numFmtId="0" fontId="21" fillId="0" borderId="21" xfId="0" applyFont="1" applyBorder="1" applyAlignment="1">
      <alignment horizontal="center" vertical="top" wrapText="1"/>
    </xf>
    <xf numFmtId="0" fontId="21" fillId="0" borderId="26" xfId="0" applyFont="1" applyBorder="1" applyAlignment="1">
      <alignment horizontal="center" vertical="top" wrapText="1"/>
    </xf>
    <xf numFmtId="0" fontId="21" fillId="0" borderId="25" xfId="0" applyFont="1" applyBorder="1" applyAlignment="1">
      <alignment horizontal="center" vertical="top" wrapText="1"/>
    </xf>
    <xf numFmtId="0" fontId="21" fillId="0" borderId="9" xfId="0" applyFont="1" applyBorder="1" applyAlignment="1">
      <alignment horizontal="center" vertical="top" wrapText="1"/>
    </xf>
    <xf numFmtId="0" fontId="21" fillId="0" borderId="10" xfId="0" applyFont="1" applyBorder="1" applyAlignment="1">
      <alignment horizontal="center" vertical="top" wrapText="1"/>
    </xf>
    <xf numFmtId="0" fontId="0" fillId="0" borderId="0" xfId="0" applyAlignment="1">
      <alignment vertical="top"/>
    </xf>
    <xf numFmtId="0" fontId="20" fillId="0" borderId="9" xfId="0" applyFont="1" applyBorder="1" applyAlignment="1">
      <alignment vertical="top" wrapText="1"/>
    </xf>
    <xf numFmtId="0" fontId="0" fillId="0" borderId="0" xfId="0" applyAlignment="1">
      <alignment horizontal="left" wrapText="1" indent="1"/>
    </xf>
    <xf numFmtId="44" fontId="0" fillId="0" borderId="0" xfId="7" applyFont="1" applyAlignment="1">
      <alignment horizontal="left" indent="1"/>
    </xf>
    <xf numFmtId="0" fontId="4" fillId="0" borderId="0" xfId="0" applyFont="1" applyAlignment="1">
      <alignment horizontal="left" indent="1"/>
    </xf>
    <xf numFmtId="0" fontId="0" fillId="0" borderId="19" xfId="0" applyBorder="1" applyAlignment="1">
      <alignment horizontal="left" wrapText="1" indent="1"/>
    </xf>
    <xf numFmtId="44" fontId="0" fillId="0" borderId="19" xfId="7" applyFont="1" applyBorder="1" applyAlignment="1">
      <alignment horizontal="left" indent="1"/>
    </xf>
    <xf numFmtId="0" fontId="0" fillId="0" borderId="43" xfId="0" applyBorder="1" applyAlignment="1">
      <alignment horizontal="left" wrapText="1" indent="1"/>
    </xf>
    <xf numFmtId="44" fontId="0" fillId="0" borderId="43" xfId="7" applyFont="1" applyBorder="1" applyAlignment="1">
      <alignment horizontal="left" indent="1"/>
    </xf>
    <xf numFmtId="0" fontId="0" fillId="0" borderId="42" xfId="0" applyBorder="1" applyAlignment="1">
      <alignment horizontal="left" wrapText="1" indent="1"/>
    </xf>
    <xf numFmtId="0" fontId="0" fillId="0" borderId="42" xfId="0" applyBorder="1" applyAlignment="1">
      <alignment horizontal="left" indent="1"/>
    </xf>
    <xf numFmtId="44" fontId="0" fillId="0" borderId="42" xfId="7" applyFont="1" applyBorder="1" applyAlignment="1">
      <alignment horizontal="left" indent="1"/>
    </xf>
    <xf numFmtId="0" fontId="6" fillId="0" borderId="0" xfId="2" applyFont="1" applyFill="1" applyBorder="1" applyAlignment="1" applyProtection="1">
      <alignment vertical="top"/>
    </xf>
    <xf numFmtId="164" fontId="0" fillId="0" borderId="0" xfId="0" applyNumberFormat="1" applyAlignment="1">
      <alignment horizontal="right"/>
    </xf>
    <xf numFmtId="0" fontId="0" fillId="0" borderId="13" xfId="0" applyBorder="1" applyAlignment="1" applyProtection="1">
      <alignment wrapText="1"/>
      <protection locked="0"/>
    </xf>
    <xf numFmtId="164" fontId="0" fillId="0" borderId="14" xfId="0" applyNumberFormat="1" applyBorder="1" applyProtection="1">
      <protection locked="0"/>
    </xf>
    <xf numFmtId="164" fontId="1" fillId="0" borderId="15" xfId="0" applyNumberFormat="1" applyFont="1" applyBorder="1" applyProtection="1">
      <protection locked="0"/>
    </xf>
    <xf numFmtId="0" fontId="0" fillId="0" borderId="29" xfId="0" applyBorder="1" applyAlignment="1" applyProtection="1">
      <alignment wrapText="1"/>
      <protection locked="0"/>
    </xf>
    <xf numFmtId="164" fontId="0" fillId="0" borderId="3" xfId="0" applyNumberFormat="1" applyBorder="1" applyAlignment="1" applyProtection="1">
      <alignment wrapText="1"/>
      <protection locked="0"/>
    </xf>
    <xf numFmtId="164" fontId="0" fillId="0" borderId="19" xfId="0" applyNumberFormat="1" applyBorder="1" applyAlignment="1" applyProtection="1">
      <alignment wrapText="1"/>
      <protection locked="0"/>
    </xf>
    <xf numFmtId="0" fontId="0" fillId="0" borderId="27" xfId="0" applyBorder="1" applyAlignment="1" applyProtection="1">
      <alignment wrapText="1"/>
      <protection locked="0"/>
    </xf>
    <xf numFmtId="164" fontId="0" fillId="0" borderId="6" xfId="0" applyNumberFormat="1" applyBorder="1" applyAlignment="1" applyProtection="1">
      <alignment wrapText="1"/>
      <protection locked="0"/>
    </xf>
    <xf numFmtId="3" fontId="21" fillId="0" borderId="14" xfId="0" applyNumberFormat="1" applyFont="1" applyBorder="1" applyProtection="1">
      <protection locked="0"/>
    </xf>
    <xf numFmtId="0" fontId="21" fillId="0" borderId="0" xfId="0" applyFont="1" applyAlignment="1" applyProtection="1">
      <alignment wrapText="1"/>
      <protection locked="0"/>
    </xf>
    <xf numFmtId="164" fontId="21" fillId="0" borderId="20" xfId="0" applyNumberFormat="1" applyFont="1" applyBorder="1" applyProtection="1">
      <protection locked="0"/>
    </xf>
    <xf numFmtId="164" fontId="21" fillId="0" borderId="0" xfId="0" applyNumberFormat="1" applyFont="1" applyProtection="1">
      <protection locked="0"/>
    </xf>
    <xf numFmtId="0" fontId="21" fillId="0" borderId="0" xfId="0" applyFont="1" applyProtection="1">
      <protection locked="0"/>
    </xf>
    <xf numFmtId="0" fontId="21" fillId="9" borderId="0" xfId="0" applyFont="1" applyFill="1" applyProtection="1">
      <protection locked="0"/>
    </xf>
    <xf numFmtId="164" fontId="21" fillId="9" borderId="20" xfId="0" applyNumberFormat="1" applyFont="1" applyFill="1" applyBorder="1" applyProtection="1">
      <protection locked="0"/>
    </xf>
    <xf numFmtId="164" fontId="21" fillId="9" borderId="0" xfId="0" applyNumberFormat="1" applyFont="1" applyFill="1" applyProtection="1">
      <protection locked="0"/>
    </xf>
    <xf numFmtId="164" fontId="21" fillId="0" borderId="21" xfId="0" applyNumberFormat="1" applyFont="1" applyBorder="1"/>
    <xf numFmtId="164" fontId="21" fillId="10" borderId="21" xfId="0" applyNumberFormat="1" applyFont="1" applyFill="1" applyBorder="1"/>
    <xf numFmtId="164" fontId="21" fillId="9" borderId="21" xfId="0" applyNumberFormat="1" applyFont="1" applyFill="1" applyBorder="1"/>
    <xf numFmtId="164" fontId="21" fillId="9" borderId="22" xfId="0" applyNumberFormat="1" applyFont="1" applyFill="1" applyBorder="1" applyProtection="1">
      <protection locked="0"/>
    </xf>
    <xf numFmtId="164" fontId="21" fillId="9" borderId="23" xfId="0" applyNumberFormat="1" applyFont="1" applyFill="1" applyBorder="1" applyProtection="1">
      <protection locked="0"/>
    </xf>
    <xf numFmtId="164" fontId="8" fillId="4" borderId="46" xfId="0" applyNumberFormat="1" applyFont="1" applyFill="1" applyBorder="1"/>
    <xf numFmtId="0" fontId="0" fillId="0" borderId="0" xfId="0" applyAlignment="1" applyProtection="1">
      <alignment wrapText="1"/>
      <protection locked="0"/>
    </xf>
    <xf numFmtId="164" fontId="8" fillId="6" borderId="46" xfId="0" applyNumberFormat="1" applyFont="1" applyFill="1" applyBorder="1"/>
    <xf numFmtId="0" fontId="21" fillId="0" borderId="0" xfId="0" applyFont="1" applyAlignment="1" applyProtection="1">
      <alignment horizontal="left" wrapText="1"/>
      <protection locked="0"/>
    </xf>
    <xf numFmtId="0" fontId="0" fillId="3" borderId="0" xfId="0" applyFill="1" applyAlignment="1">
      <alignment horizontal="left"/>
    </xf>
    <xf numFmtId="0" fontId="31" fillId="0" borderId="0" xfId="0" applyFont="1" applyAlignment="1">
      <alignment vertical="center"/>
    </xf>
    <xf numFmtId="0" fontId="6" fillId="0" borderId="0" xfId="0" applyFont="1" applyAlignment="1">
      <alignment vertical="center"/>
    </xf>
    <xf numFmtId="0" fontId="6" fillId="12" borderId="0" xfId="0" applyFont="1" applyFill="1" applyAlignment="1">
      <alignment vertical="center"/>
    </xf>
    <xf numFmtId="0" fontId="6" fillId="13" borderId="0" xfId="0" applyFont="1" applyFill="1" applyAlignment="1">
      <alignment vertical="center" wrapText="1"/>
    </xf>
    <xf numFmtId="0" fontId="6" fillId="14" borderId="0" xfId="0" applyFont="1" applyFill="1" applyAlignment="1">
      <alignment vertical="center" wrapText="1"/>
    </xf>
    <xf numFmtId="0" fontId="32" fillId="0" borderId="0" xfId="8" applyFont="1" applyBorder="1" applyAlignment="1" applyProtection="1">
      <alignment horizontal="left" vertical="center"/>
    </xf>
    <xf numFmtId="164" fontId="21" fillId="0" borderId="45" xfId="0" applyNumberFormat="1" applyFont="1" applyBorder="1"/>
    <xf numFmtId="0" fontId="0" fillId="9" borderId="0" xfId="0" applyFill="1" applyAlignment="1" applyProtection="1">
      <alignment wrapText="1"/>
      <protection locked="0"/>
    </xf>
    <xf numFmtId="164" fontId="22" fillId="4" borderId="46" xfId="0" applyNumberFormat="1" applyFont="1" applyFill="1" applyBorder="1"/>
    <xf numFmtId="164" fontId="22" fillId="6" borderId="46" xfId="0" applyNumberFormat="1" applyFont="1" applyFill="1" applyBorder="1"/>
    <xf numFmtId="164" fontId="0" fillId="0" borderId="42" xfId="0" applyNumberFormat="1" applyBorder="1" applyProtection="1">
      <protection locked="0"/>
    </xf>
    <xf numFmtId="164" fontId="21" fillId="0" borderId="44" xfId="0" applyNumberFormat="1" applyFont="1" applyBorder="1"/>
    <xf numFmtId="8" fontId="33" fillId="15" borderId="0" xfId="0" applyNumberFormat="1" applyFont="1" applyFill="1" applyAlignment="1">
      <alignment horizontal="right" wrapText="1"/>
    </xf>
    <xf numFmtId="8" fontId="33" fillId="16" borderId="0" xfId="0" applyNumberFormat="1" applyFont="1" applyFill="1" applyAlignment="1">
      <alignment horizontal="right" wrapText="1"/>
    </xf>
    <xf numFmtId="164" fontId="0" fillId="0" borderId="44" xfId="0" applyNumberFormat="1" applyBorder="1" applyProtection="1">
      <protection locked="0"/>
    </xf>
    <xf numFmtId="164" fontId="8" fillId="3" borderId="10" xfId="1" applyNumberFormat="1" applyFill="1" applyBorder="1"/>
    <xf numFmtId="164" fontId="0" fillId="0" borderId="43" xfId="0" applyNumberFormat="1" applyBorder="1"/>
    <xf numFmtId="164" fontId="0" fillId="0" borderId="42" xfId="0" applyNumberFormat="1" applyBorder="1"/>
    <xf numFmtId="164" fontId="0" fillId="0" borderId="45" xfId="0" applyNumberFormat="1" applyBorder="1"/>
    <xf numFmtId="0" fontId="21" fillId="0" borderId="0" xfId="0" applyFont="1" applyAlignment="1">
      <alignment wrapText="1"/>
    </xf>
    <xf numFmtId="164" fontId="0" fillId="0" borderId="19" xfId="0" applyNumberFormat="1" applyBorder="1" applyProtection="1">
      <protection locked="0"/>
    </xf>
    <xf numFmtId="164" fontId="0" fillId="0" borderId="43" xfId="0" applyNumberFormat="1" applyBorder="1" applyProtection="1">
      <protection locked="0"/>
    </xf>
    <xf numFmtId="0" fontId="0" fillId="0" borderId="52" xfId="0" applyBorder="1" applyAlignment="1">
      <alignment horizontal="left" indent="1"/>
    </xf>
    <xf numFmtId="0" fontId="0" fillId="0" borderId="53" xfId="0" applyBorder="1" applyAlignment="1">
      <alignment horizontal="left" indent="1"/>
    </xf>
    <xf numFmtId="0" fontId="0" fillId="0" borderId="52" xfId="0" applyBorder="1"/>
    <xf numFmtId="0" fontId="0" fillId="0" borderId="53" xfId="0" applyBorder="1" applyAlignment="1">
      <alignment horizontal="left" wrapText="1" indent="1"/>
    </xf>
    <xf numFmtId="0" fontId="1" fillId="0" borderId="54" xfId="0" applyFont="1" applyBorder="1" applyAlignment="1">
      <alignment horizontal="center" wrapText="1"/>
    </xf>
    <xf numFmtId="0" fontId="1" fillId="0" borderId="55" xfId="0" applyFont="1" applyBorder="1" applyAlignment="1">
      <alignment horizontal="center" wrapText="1"/>
    </xf>
    <xf numFmtId="0" fontId="1" fillId="0" borderId="56" xfId="0" applyFont="1" applyBorder="1" applyAlignment="1">
      <alignment horizontal="center" wrapText="1"/>
    </xf>
    <xf numFmtId="164" fontId="8" fillId="7" borderId="54" xfId="1" applyNumberFormat="1" applyFill="1" applyBorder="1"/>
    <xf numFmtId="164" fontId="8" fillId="7" borderId="55" xfId="1" applyNumberFormat="1" applyFill="1" applyBorder="1"/>
    <xf numFmtId="164" fontId="4" fillId="3" borderId="56" xfId="0" applyNumberFormat="1" applyFont="1" applyFill="1" applyBorder="1"/>
    <xf numFmtId="0" fontId="1" fillId="7" borderId="54" xfId="0" applyFont="1" applyFill="1" applyBorder="1"/>
    <xf numFmtId="0" fontId="1" fillId="7" borderId="55" xfId="0" applyFont="1" applyFill="1" applyBorder="1"/>
    <xf numFmtId="0" fontId="1" fillId="3" borderId="55" xfId="0" applyFont="1" applyFill="1" applyBorder="1"/>
    <xf numFmtId="0" fontId="0" fillId="3" borderId="56" xfId="0" applyFill="1" applyBorder="1"/>
    <xf numFmtId="0" fontId="0" fillId="0" borderId="47" xfId="0" applyBorder="1" applyAlignment="1" applyProtection="1">
      <alignment wrapText="1"/>
      <protection locked="0"/>
    </xf>
    <xf numFmtId="164" fontId="0" fillId="0" borderId="48" xfId="0" applyNumberFormat="1" applyBorder="1" applyProtection="1">
      <protection locked="0"/>
    </xf>
    <xf numFmtId="164" fontId="0" fillId="0" borderId="55" xfId="0" applyNumberFormat="1" applyBorder="1" applyProtection="1">
      <protection locked="0"/>
    </xf>
    <xf numFmtId="164" fontId="1" fillId="0" borderId="49" xfId="0" applyNumberFormat="1" applyFont="1" applyBorder="1" applyProtection="1">
      <protection locked="0"/>
    </xf>
    <xf numFmtId="0" fontId="0" fillId="0" borderId="16" xfId="0" applyBorder="1" applyAlignment="1" applyProtection="1">
      <alignment wrapText="1"/>
      <protection locked="0"/>
    </xf>
    <xf numFmtId="164" fontId="1" fillId="0" borderId="17" xfId="0" applyNumberFormat="1" applyFont="1" applyBorder="1" applyProtection="1">
      <protection locked="0"/>
    </xf>
    <xf numFmtId="0" fontId="0" fillId="0" borderId="50" xfId="0" applyBorder="1" applyAlignment="1" applyProtection="1">
      <alignment wrapText="1"/>
      <protection locked="0"/>
    </xf>
    <xf numFmtId="164" fontId="1" fillId="0" borderId="51" xfId="0" applyNumberFormat="1" applyFont="1" applyBorder="1" applyProtection="1">
      <protection locked="0"/>
    </xf>
    <xf numFmtId="0" fontId="0" fillId="0" borderId="47" xfId="0" applyBorder="1" applyAlignment="1">
      <alignment wrapText="1"/>
    </xf>
    <xf numFmtId="164" fontId="0" fillId="0" borderId="48" xfId="0" applyNumberFormat="1" applyBorder="1"/>
    <xf numFmtId="0" fontId="5" fillId="0" borderId="57" xfId="0" applyFont="1" applyBorder="1" applyAlignment="1">
      <alignment vertical="top" wrapText="1"/>
    </xf>
    <xf numFmtId="164" fontId="0" fillId="0" borderId="52" xfId="0" applyNumberFormat="1" applyBorder="1" applyAlignment="1" applyProtection="1">
      <alignment wrapText="1"/>
      <protection locked="0"/>
    </xf>
    <xf numFmtId="164" fontId="0" fillId="0" borderId="43" xfId="0" applyNumberFormat="1" applyBorder="1" applyAlignment="1" applyProtection="1">
      <alignment wrapText="1"/>
      <protection locked="0"/>
    </xf>
    <xf numFmtId="164" fontId="0" fillId="0" borderId="42" xfId="0" applyNumberFormat="1" applyBorder="1" applyAlignment="1" applyProtection="1">
      <alignment wrapText="1"/>
      <protection locked="0"/>
    </xf>
    <xf numFmtId="164" fontId="8" fillId="7" borderId="58" xfId="1" applyNumberFormat="1" applyFill="1" applyBorder="1" applyAlignment="1">
      <alignment wrapText="1"/>
    </xf>
    <xf numFmtId="0" fontId="0" fillId="0" borderId="59" xfId="0" applyBorder="1" applyAlignment="1" applyProtection="1">
      <alignment wrapText="1"/>
      <protection locked="0"/>
    </xf>
    <xf numFmtId="0" fontId="0" fillId="0" borderId="59" xfId="0" applyBorder="1" applyAlignment="1">
      <alignment wrapText="1"/>
    </xf>
    <xf numFmtId="164" fontId="8" fillId="0" borderId="42" xfId="0" applyNumberFormat="1" applyFont="1" applyBorder="1" applyAlignment="1">
      <alignment wrapText="1"/>
    </xf>
    <xf numFmtId="164" fontId="0" fillId="0" borderId="53" xfId="0" applyNumberFormat="1" applyBorder="1" applyAlignment="1">
      <alignment horizontal="left" indent="1"/>
    </xf>
    <xf numFmtId="164" fontId="1" fillId="0" borderId="42" xfId="0" applyNumberFormat="1" applyFont="1" applyBorder="1" applyAlignment="1">
      <alignment horizontal="right" indent="1"/>
    </xf>
    <xf numFmtId="164" fontId="8" fillId="0" borderId="42" xfId="1" applyNumberFormat="1" applyBorder="1" applyAlignment="1">
      <alignment horizontal="right" indent="1"/>
    </xf>
    <xf numFmtId="0" fontId="21" fillId="0" borderId="46" xfId="0" applyFont="1" applyBorder="1" applyAlignment="1">
      <alignment vertical="top" wrapText="1"/>
    </xf>
    <xf numFmtId="0" fontId="21" fillId="0" borderId="58" xfId="0" applyFont="1" applyBorder="1" applyAlignment="1">
      <alignment vertical="top" wrapText="1"/>
    </xf>
    <xf numFmtId="0" fontId="21" fillId="0" borderId="60" xfId="0" applyFont="1" applyBorder="1" applyAlignment="1">
      <alignment vertical="top" wrapText="1"/>
    </xf>
    <xf numFmtId="0" fontId="21" fillId="0" borderId="60" xfId="0" applyFont="1" applyBorder="1" applyAlignment="1">
      <alignment horizontal="center" vertical="top" wrapText="1"/>
    </xf>
    <xf numFmtId="0" fontId="6" fillId="4" borderId="60" xfId="0" applyFont="1" applyFill="1" applyBorder="1" applyAlignment="1" applyProtection="1">
      <alignment horizontal="left" vertical="top"/>
      <protection locked="0"/>
    </xf>
    <xf numFmtId="8" fontId="26" fillId="0" borderId="60" xfId="0" applyNumberFormat="1" applyFont="1" applyBorder="1" applyAlignment="1">
      <alignment horizontal="right" vertical="top"/>
    </xf>
    <xf numFmtId="164" fontId="1" fillId="0" borderId="54" xfId="0" applyNumberFormat="1" applyFont="1" applyBorder="1" applyAlignment="1">
      <alignment horizontal="left"/>
    </xf>
    <xf numFmtId="164" fontId="20" fillId="0" borderId="55" xfId="0" applyNumberFormat="1" applyFont="1" applyBorder="1" applyAlignment="1">
      <alignment horizontal="right"/>
    </xf>
    <xf numFmtId="0" fontId="20" fillId="4" borderId="46" xfId="0" applyFont="1" applyFill="1" applyBorder="1"/>
    <xf numFmtId="0" fontId="20" fillId="4" borderId="61" xfId="0" applyFont="1" applyFill="1" applyBorder="1"/>
    <xf numFmtId="0" fontId="20" fillId="6" borderId="61" xfId="0" applyFont="1" applyFill="1" applyBorder="1"/>
    <xf numFmtId="0" fontId="20" fillId="6" borderId="60" xfId="0" applyFont="1" applyFill="1" applyBorder="1"/>
    <xf numFmtId="0" fontId="21" fillId="0" borderId="46" xfId="0" applyFont="1" applyBorder="1" applyAlignment="1">
      <alignment horizontal="center" wrapText="1"/>
    </xf>
    <xf numFmtId="0" fontId="21" fillId="0" borderId="61" xfId="0" applyFont="1" applyBorder="1" applyAlignment="1">
      <alignment horizontal="center" wrapText="1"/>
    </xf>
    <xf numFmtId="0" fontId="21" fillId="0" borderId="60" xfId="0" applyFont="1" applyBorder="1" applyAlignment="1">
      <alignment horizontal="center" wrapText="1"/>
    </xf>
    <xf numFmtId="164" fontId="0" fillId="0" borderId="62" xfId="0" applyNumberFormat="1" applyBorder="1" applyProtection="1">
      <protection locked="0"/>
    </xf>
    <xf numFmtId="164" fontId="22" fillId="4" borderId="61" xfId="0" applyNumberFormat="1" applyFont="1" applyFill="1" applyBorder="1"/>
    <xf numFmtId="164" fontId="22" fillId="6" borderId="61" xfId="0" applyNumberFormat="1" applyFont="1" applyFill="1" applyBorder="1"/>
    <xf numFmtId="164" fontId="21" fillId="0" borderId="62" xfId="0" applyNumberFormat="1" applyFont="1" applyBorder="1" applyProtection="1">
      <protection locked="0"/>
    </xf>
    <xf numFmtId="164" fontId="21" fillId="0" borderId="44" xfId="0" applyNumberFormat="1" applyFont="1" applyBorder="1" applyProtection="1">
      <protection locked="0"/>
    </xf>
    <xf numFmtId="164" fontId="21" fillId="0" borderId="62" xfId="0" applyNumberFormat="1" applyFont="1" applyBorder="1"/>
    <xf numFmtId="164" fontId="22" fillId="6" borderId="60" xfId="0" applyNumberFormat="1" applyFont="1" applyFill="1" applyBorder="1"/>
    <xf numFmtId="0" fontId="21" fillId="0" borderId="61" xfId="0" applyFont="1" applyBorder="1" applyAlignment="1">
      <alignment vertical="top" wrapText="1"/>
    </xf>
    <xf numFmtId="164" fontId="8" fillId="4" borderId="61" xfId="0" applyNumberFormat="1" applyFont="1" applyFill="1" applyBorder="1"/>
    <xf numFmtId="164" fontId="8" fillId="6" borderId="61" xfId="0" applyNumberFormat="1" applyFont="1" applyFill="1" applyBorder="1"/>
    <xf numFmtId="0" fontId="0" fillId="0" borderId="67" xfId="0" applyBorder="1" applyAlignment="1">
      <alignment vertical="center"/>
    </xf>
    <xf numFmtId="0" fontId="0" fillId="0" borderId="68" xfId="0" applyBorder="1" applyAlignment="1">
      <alignment vertical="center"/>
    </xf>
    <xf numFmtId="0" fontId="36" fillId="0" borderId="54" xfId="0" applyFont="1" applyBorder="1" applyAlignment="1">
      <alignment horizontal="center" vertical="center"/>
    </xf>
    <xf numFmtId="0" fontId="36" fillId="0" borderId="69" xfId="0" applyFont="1" applyBorder="1" applyAlignment="1">
      <alignment horizontal="center" vertical="center"/>
    </xf>
    <xf numFmtId="0" fontId="37" fillId="0" borderId="56" xfId="0" applyFont="1" applyBorder="1" applyAlignment="1">
      <alignment horizontal="center" vertical="center"/>
    </xf>
    <xf numFmtId="0" fontId="36" fillId="0" borderId="70" xfId="0" applyFont="1" applyBorder="1" applyAlignment="1">
      <alignment horizontal="center" vertical="center"/>
    </xf>
    <xf numFmtId="0" fontId="37" fillId="0" borderId="71" xfId="0" applyFont="1" applyBorder="1" applyAlignment="1">
      <alignment horizontal="center" vertical="center"/>
    </xf>
    <xf numFmtId="172" fontId="0" fillId="0" borderId="0" xfId="0" applyNumberFormat="1" applyAlignment="1">
      <alignment vertical="center"/>
    </xf>
    <xf numFmtId="0" fontId="1" fillId="0" borderId="0" xfId="0" applyFont="1" applyAlignment="1">
      <alignment horizontal="center" vertical="center"/>
    </xf>
    <xf numFmtId="0" fontId="0" fillId="0" borderId="5" xfId="0" applyBorder="1" applyAlignment="1">
      <alignment vertical="center"/>
    </xf>
    <xf numFmtId="0" fontId="36" fillId="0" borderId="13" xfId="0" applyFont="1" applyBorder="1" applyAlignment="1">
      <alignment horizontal="center" vertical="center"/>
    </xf>
    <xf numFmtId="0" fontId="36" fillId="0" borderId="4" xfId="0" applyFont="1" applyBorder="1" applyAlignment="1">
      <alignment horizontal="center" vertical="center"/>
    </xf>
    <xf numFmtId="0" fontId="38" fillId="0" borderId="21" xfId="0" applyFont="1" applyBorder="1" applyAlignment="1">
      <alignment horizontal="center" vertical="center"/>
    </xf>
    <xf numFmtId="0" fontId="38" fillId="0" borderId="4" xfId="0" applyFont="1" applyBorder="1" applyAlignment="1">
      <alignment horizontal="center" vertical="center"/>
    </xf>
    <xf numFmtId="0" fontId="37" fillId="0" borderId="15" xfId="0" applyFont="1" applyBorder="1" applyAlignment="1">
      <alignment horizontal="center" vertical="center"/>
    </xf>
    <xf numFmtId="0" fontId="37" fillId="0" borderId="14" xfId="0" applyFont="1" applyBorder="1" applyAlignment="1">
      <alignment horizontal="center" vertical="center"/>
    </xf>
    <xf numFmtId="0" fontId="1" fillId="0" borderId="72" xfId="0" applyFont="1" applyBorder="1" applyAlignment="1">
      <alignment vertical="center"/>
    </xf>
    <xf numFmtId="0" fontId="1" fillId="0" borderId="73" xfId="0" applyFont="1" applyBorder="1" applyAlignment="1">
      <alignment vertical="center"/>
    </xf>
    <xf numFmtId="14" fontId="39" fillId="0" borderId="37" xfId="0" applyNumberFormat="1" applyFont="1" applyBorder="1" applyAlignment="1">
      <alignment horizontal="center" vertical="center" wrapText="1"/>
    </xf>
    <xf numFmtId="14" fontId="39" fillId="0" borderId="74" xfId="0" applyNumberFormat="1" applyFont="1" applyBorder="1" applyAlignment="1">
      <alignment horizontal="center" vertical="center" wrapText="1"/>
    </xf>
    <xf numFmtId="14" fontId="37" fillId="0" borderId="38" xfId="0" applyNumberFormat="1" applyFont="1" applyBorder="1" applyAlignment="1">
      <alignment horizontal="center" vertical="center"/>
    </xf>
    <xf numFmtId="14" fontId="39" fillId="0" borderId="75" xfId="0" applyNumberFormat="1" applyFont="1" applyBorder="1" applyAlignment="1">
      <alignment horizontal="center" vertical="center" wrapText="1"/>
    </xf>
    <xf numFmtId="14" fontId="37" fillId="0" borderId="19" xfId="0" applyNumberFormat="1" applyFont="1" applyBorder="1" applyAlignment="1">
      <alignment horizontal="center" vertical="center"/>
    </xf>
    <xf numFmtId="0" fontId="34" fillId="17" borderId="65" xfId="0" applyFont="1" applyFill="1" applyBorder="1" applyAlignment="1">
      <alignment vertical="center"/>
    </xf>
    <xf numFmtId="0" fontId="40" fillId="17" borderId="76" xfId="0" applyFont="1" applyFill="1" applyBorder="1" applyAlignment="1">
      <alignment vertical="center"/>
    </xf>
    <xf numFmtId="164" fontId="41" fillId="17" borderId="77" xfId="0" applyNumberFormat="1" applyFont="1" applyFill="1" applyBorder="1" applyAlignment="1">
      <alignment horizontal="center" vertical="center" wrapText="1"/>
    </xf>
    <xf numFmtId="164" fontId="41" fillId="17" borderId="75" xfId="0" applyNumberFormat="1" applyFont="1" applyFill="1" applyBorder="1" applyAlignment="1">
      <alignment horizontal="center" vertical="center" wrapText="1"/>
    </xf>
    <xf numFmtId="164" fontId="40" fillId="17" borderId="49" xfId="0" applyNumberFormat="1" applyFont="1" applyFill="1" applyBorder="1" applyAlignment="1">
      <alignment horizontal="center" vertical="center" wrapText="1"/>
    </xf>
    <xf numFmtId="164" fontId="41" fillId="17" borderId="78" xfId="0" applyNumberFormat="1" applyFont="1" applyFill="1" applyBorder="1" applyAlignment="1">
      <alignment horizontal="center" vertical="center" wrapText="1"/>
    </xf>
    <xf numFmtId="164" fontId="40" fillId="17" borderId="65" xfId="0" applyNumberFormat="1" applyFont="1" applyFill="1" applyBorder="1" applyAlignment="1">
      <alignment horizontal="center" vertical="center" wrapText="1"/>
    </xf>
    <xf numFmtId="172" fontId="1" fillId="0" borderId="0" xfId="0" applyNumberFormat="1" applyFont="1" applyAlignment="1">
      <alignment vertical="center"/>
    </xf>
    <xf numFmtId="0" fontId="0" fillId="0" borderId="0" xfId="0" applyAlignment="1">
      <alignment horizontal="center" vertical="center"/>
    </xf>
    <xf numFmtId="0" fontId="1" fillId="0" borderId="0" xfId="0" applyFont="1" applyAlignment="1">
      <alignment vertical="center"/>
    </xf>
    <xf numFmtId="0" fontId="40" fillId="0" borderId="65" xfId="0" applyFont="1" applyBorder="1" applyAlignment="1">
      <alignment vertical="center"/>
    </xf>
    <xf numFmtId="164" fontId="41" fillId="17" borderId="16" xfId="0" applyNumberFormat="1" applyFont="1" applyFill="1" applyBorder="1" applyAlignment="1">
      <alignment horizontal="center" vertical="center" wrapText="1"/>
    </xf>
    <xf numFmtId="164" fontId="13" fillId="17" borderId="17" xfId="0" applyNumberFormat="1" applyFont="1" applyFill="1" applyBorder="1" applyAlignment="1">
      <alignment horizontal="right" vertical="center" wrapText="1"/>
    </xf>
    <xf numFmtId="164" fontId="13" fillId="17" borderId="65" xfId="0" applyNumberFormat="1" applyFont="1" applyFill="1" applyBorder="1" applyAlignment="1">
      <alignment horizontal="right" vertical="center" wrapText="1"/>
    </xf>
    <xf numFmtId="0" fontId="13" fillId="18" borderId="65" xfId="0" applyFont="1" applyFill="1" applyBorder="1" applyAlignment="1">
      <alignment vertical="center"/>
    </xf>
    <xf numFmtId="0" fontId="13" fillId="18" borderId="76" xfId="0" applyFont="1" applyFill="1" applyBorder="1" applyAlignment="1">
      <alignment vertical="center"/>
    </xf>
    <xf numFmtId="164" fontId="41" fillId="18" borderId="16" xfId="0" applyNumberFormat="1" applyFont="1" applyFill="1" applyBorder="1" applyAlignment="1">
      <alignment horizontal="right" vertical="center" wrapText="1"/>
    </xf>
    <xf numFmtId="164" fontId="41" fillId="18" borderId="78" xfId="0" applyNumberFormat="1" applyFont="1" applyFill="1" applyBorder="1" applyAlignment="1">
      <alignment horizontal="right" vertical="center" wrapText="1"/>
    </xf>
    <xf numFmtId="164" fontId="13" fillId="18" borderId="17" xfId="0" applyNumberFormat="1" applyFont="1" applyFill="1" applyBorder="1" applyAlignment="1">
      <alignment horizontal="right" vertical="center" wrapText="1"/>
    </xf>
    <xf numFmtId="164" fontId="13" fillId="18" borderId="65" xfId="0" applyNumberFormat="1" applyFont="1" applyFill="1" applyBorder="1" applyAlignment="1">
      <alignment horizontal="right" vertical="center" wrapText="1"/>
    </xf>
    <xf numFmtId="0" fontId="0" fillId="18" borderId="65" xfId="0" applyFill="1" applyBorder="1" applyAlignment="1">
      <alignment vertical="center"/>
    </xf>
    <xf numFmtId="0" fontId="0" fillId="18" borderId="76" xfId="0" applyFill="1" applyBorder="1" applyAlignment="1">
      <alignment vertical="center"/>
    </xf>
    <xf numFmtId="164" fontId="41" fillId="18" borderId="16" xfId="0" applyNumberFormat="1" applyFont="1" applyFill="1" applyBorder="1" applyAlignment="1">
      <alignment horizontal="right" vertical="center"/>
    </xf>
    <xf numFmtId="164" fontId="41" fillId="18" borderId="78" xfId="0" applyNumberFormat="1" applyFont="1" applyFill="1" applyBorder="1" applyAlignment="1">
      <alignment horizontal="right" vertical="center"/>
    </xf>
    <xf numFmtId="164" fontId="35" fillId="18" borderId="17" xfId="0" applyNumberFormat="1" applyFont="1" applyFill="1" applyBorder="1" applyAlignment="1">
      <alignment horizontal="right" vertical="center"/>
    </xf>
    <xf numFmtId="164" fontId="0" fillId="18" borderId="65" xfId="0" applyNumberFormat="1" applyFill="1" applyBorder="1" applyAlignment="1">
      <alignment vertical="center"/>
    </xf>
    <xf numFmtId="164" fontId="34" fillId="18" borderId="65" xfId="0" applyNumberFormat="1" applyFont="1" applyFill="1" applyBorder="1" applyAlignment="1">
      <alignment horizontal="right" vertical="center"/>
    </xf>
    <xf numFmtId="164" fontId="0" fillId="18" borderId="65" xfId="0" applyNumberFormat="1" applyFill="1" applyBorder="1" applyAlignment="1">
      <alignment horizontal="right" vertical="center"/>
    </xf>
    <xf numFmtId="164" fontId="0" fillId="18" borderId="17" xfId="0" applyNumberFormat="1" applyFill="1" applyBorder="1" applyAlignment="1">
      <alignment horizontal="right" vertical="center"/>
    </xf>
    <xf numFmtId="0" fontId="1" fillId="17" borderId="65" xfId="0" applyFont="1" applyFill="1" applyBorder="1" applyAlignment="1">
      <alignment vertical="center"/>
    </xf>
    <xf numFmtId="0" fontId="1" fillId="17" borderId="76" xfId="0" applyFont="1" applyFill="1" applyBorder="1" applyAlignment="1">
      <alignment vertical="center"/>
    </xf>
    <xf numFmtId="164" fontId="41" fillId="17" borderId="16" xfId="0" applyNumberFormat="1" applyFont="1" applyFill="1" applyBorder="1" applyAlignment="1">
      <alignment horizontal="right" vertical="center"/>
    </xf>
    <xf numFmtId="164" fontId="41" fillId="17" borderId="78" xfId="0" applyNumberFormat="1" applyFont="1" applyFill="1" applyBorder="1" applyAlignment="1">
      <alignment horizontal="right" vertical="center"/>
    </xf>
    <xf numFmtId="164" fontId="0" fillId="17" borderId="17" xfId="0" applyNumberFormat="1" applyFill="1" applyBorder="1" applyAlignment="1">
      <alignment horizontal="right" vertical="center"/>
    </xf>
    <xf numFmtId="164" fontId="0" fillId="17" borderId="65" xfId="0" applyNumberFormat="1" applyFill="1" applyBorder="1" applyAlignment="1">
      <alignment vertical="center"/>
    </xf>
    <xf numFmtId="164" fontId="0" fillId="17" borderId="65" xfId="0" applyNumberFormat="1" applyFill="1" applyBorder="1" applyAlignment="1">
      <alignment horizontal="right" vertical="center"/>
    </xf>
    <xf numFmtId="164" fontId="13" fillId="18" borderId="17" xfId="0" applyNumberFormat="1" applyFont="1" applyFill="1" applyBorder="1" applyAlignment="1">
      <alignment horizontal="right" vertical="center"/>
    </xf>
    <xf numFmtId="164" fontId="13" fillId="18" borderId="65" xfId="0" applyNumberFormat="1" applyFont="1" applyFill="1" applyBorder="1" applyAlignment="1">
      <alignment vertical="center"/>
    </xf>
    <xf numFmtId="164" fontId="34" fillId="18" borderId="65" xfId="0" applyNumberFormat="1" applyFont="1" applyFill="1" applyBorder="1" applyAlignment="1">
      <alignment vertical="center"/>
    </xf>
    <xf numFmtId="164" fontId="13" fillId="18" borderId="65" xfId="0" applyNumberFormat="1" applyFont="1" applyFill="1" applyBorder="1" applyAlignment="1">
      <alignment horizontal="right" vertical="center"/>
    </xf>
    <xf numFmtId="164" fontId="40" fillId="18" borderId="17" xfId="0" applyNumberFormat="1" applyFont="1" applyFill="1" applyBorder="1" applyAlignment="1">
      <alignment horizontal="right" vertical="center"/>
    </xf>
    <xf numFmtId="0" fontId="1" fillId="18" borderId="65" xfId="0" applyFont="1" applyFill="1" applyBorder="1" applyAlignment="1">
      <alignment vertical="center"/>
    </xf>
    <xf numFmtId="0" fontId="1" fillId="18" borderId="76" xfId="0" applyFont="1" applyFill="1" applyBorder="1" applyAlignment="1">
      <alignment vertical="center"/>
    </xf>
    <xf numFmtId="0" fontId="40" fillId="18" borderId="65" xfId="0" applyFont="1" applyFill="1" applyBorder="1" applyAlignment="1">
      <alignment vertical="center"/>
    </xf>
    <xf numFmtId="0" fontId="40" fillId="18" borderId="76" xfId="0" applyFont="1" applyFill="1" applyBorder="1" applyAlignment="1">
      <alignment vertical="center"/>
    </xf>
    <xf numFmtId="0" fontId="0" fillId="17" borderId="76" xfId="0" applyFill="1" applyBorder="1" applyAlignment="1">
      <alignment vertical="center"/>
    </xf>
    <xf numFmtId="0" fontId="34" fillId="17" borderId="79" xfId="0" applyFont="1" applyFill="1" applyBorder="1" applyAlignment="1">
      <alignment vertical="center"/>
    </xf>
    <xf numFmtId="164" fontId="41" fillId="17" borderId="16" xfId="0" applyNumberFormat="1" applyFont="1" applyFill="1" applyBorder="1" applyAlignment="1">
      <alignment vertical="center"/>
    </xf>
    <xf numFmtId="164" fontId="41" fillId="17" borderId="78" xfId="0" applyNumberFormat="1" applyFont="1" applyFill="1" applyBorder="1" applyAlignment="1">
      <alignment vertical="center"/>
    </xf>
    <xf numFmtId="164" fontId="1" fillId="17" borderId="17" xfId="0" applyNumberFormat="1" applyFont="1" applyFill="1" applyBorder="1" applyAlignment="1">
      <alignment vertical="center"/>
    </xf>
    <xf numFmtId="164" fontId="1" fillId="17" borderId="78" xfId="0" applyNumberFormat="1" applyFont="1" applyFill="1" applyBorder="1" applyAlignment="1">
      <alignment vertical="center"/>
    </xf>
    <xf numFmtId="164" fontId="42" fillId="18" borderId="16" xfId="0" applyNumberFormat="1" applyFont="1" applyFill="1" applyBorder="1" applyAlignment="1">
      <alignment vertical="center"/>
    </xf>
    <xf numFmtId="164" fontId="42" fillId="18" borderId="78" xfId="0" applyNumberFormat="1" applyFont="1" applyFill="1" applyBorder="1" applyAlignment="1">
      <alignment vertical="center"/>
    </xf>
    <xf numFmtId="164" fontId="38" fillId="18" borderId="17" xfId="0" applyNumberFormat="1" applyFont="1" applyFill="1" applyBorder="1" applyAlignment="1">
      <alignment vertical="center"/>
    </xf>
    <xf numFmtId="164" fontId="43" fillId="18" borderId="65" xfId="0" applyNumberFormat="1" applyFont="1" applyFill="1" applyBorder="1" applyAlignment="1">
      <alignment vertical="center"/>
    </xf>
    <xf numFmtId="164" fontId="44" fillId="18" borderId="65" xfId="0" applyNumberFormat="1" applyFont="1" applyFill="1" applyBorder="1" applyAlignment="1">
      <alignment vertical="center"/>
    </xf>
    <xf numFmtId="164" fontId="41" fillId="18" borderId="16" xfId="0" applyNumberFormat="1" applyFont="1" applyFill="1" applyBorder="1" applyAlignment="1">
      <alignment vertical="center"/>
    </xf>
    <xf numFmtId="164" fontId="41" fillId="18" borderId="78" xfId="0" applyNumberFormat="1" applyFont="1" applyFill="1" applyBorder="1" applyAlignment="1">
      <alignment vertical="center"/>
    </xf>
    <xf numFmtId="164" fontId="13" fillId="18" borderId="17" xfId="0" applyNumberFormat="1" applyFont="1" applyFill="1" applyBorder="1" applyAlignment="1">
      <alignment vertical="center"/>
    </xf>
    <xf numFmtId="164" fontId="42" fillId="14" borderId="16" xfId="0" applyNumberFormat="1" applyFont="1" applyFill="1" applyBorder="1" applyAlignment="1">
      <alignment vertical="center"/>
    </xf>
    <xf numFmtId="164" fontId="42" fillId="14" borderId="78" xfId="0" applyNumberFormat="1" applyFont="1" applyFill="1" applyBorder="1" applyAlignment="1">
      <alignment vertical="center"/>
    </xf>
    <xf numFmtId="164" fontId="43" fillId="14" borderId="17" xfId="0" applyNumberFormat="1" applyFont="1" applyFill="1" applyBorder="1" applyAlignment="1">
      <alignment vertical="center"/>
    </xf>
    <xf numFmtId="164" fontId="20" fillId="17" borderId="65" xfId="0" applyNumberFormat="1" applyFont="1" applyFill="1" applyBorder="1" applyAlignment="1">
      <alignment vertical="center"/>
    </xf>
    <xf numFmtId="164" fontId="1" fillId="17" borderId="65" xfId="0" applyNumberFormat="1" applyFont="1" applyFill="1" applyBorder="1" applyAlignment="1">
      <alignment vertical="center"/>
    </xf>
    <xf numFmtId="164" fontId="37" fillId="17" borderId="65" xfId="0" applyNumberFormat="1" applyFont="1" applyFill="1" applyBorder="1" applyAlignment="1">
      <alignment vertical="center"/>
    </xf>
    <xf numFmtId="0" fontId="0" fillId="18" borderId="79" xfId="0" applyFill="1" applyBorder="1" applyAlignment="1">
      <alignment vertical="center"/>
    </xf>
    <xf numFmtId="164" fontId="0" fillId="18" borderId="17" xfId="0" applyNumberFormat="1" applyFill="1" applyBorder="1" applyAlignment="1">
      <alignment vertical="center"/>
    </xf>
    <xf numFmtId="164" fontId="0" fillId="18" borderId="78" xfId="0" applyNumberFormat="1" applyFill="1" applyBorder="1" applyAlignment="1">
      <alignment vertical="center"/>
    </xf>
    <xf numFmtId="164" fontId="1" fillId="18" borderId="78" xfId="0" applyNumberFormat="1" applyFont="1" applyFill="1" applyBorder="1" applyAlignment="1">
      <alignment vertical="center"/>
    </xf>
    <xf numFmtId="164" fontId="41" fillId="17" borderId="77" xfId="0" applyNumberFormat="1" applyFont="1" applyFill="1" applyBorder="1" applyAlignment="1">
      <alignment vertical="center"/>
    </xf>
    <xf numFmtId="164" fontId="41" fillId="17" borderId="75" xfId="0" applyNumberFormat="1" applyFont="1" applyFill="1" applyBorder="1" applyAlignment="1">
      <alignment vertical="center"/>
    </xf>
    <xf numFmtId="164" fontId="1" fillId="17" borderId="80" xfId="0" applyNumberFormat="1" applyFont="1" applyFill="1" applyBorder="1" applyAlignment="1">
      <alignment vertical="center"/>
    </xf>
    <xf numFmtId="164" fontId="20" fillId="17" borderId="19" xfId="0" applyNumberFormat="1" applyFont="1" applyFill="1" applyBorder="1" applyAlignment="1">
      <alignment vertical="center"/>
    </xf>
    <xf numFmtId="164" fontId="1" fillId="17" borderId="19" xfId="0" applyNumberFormat="1" applyFont="1" applyFill="1" applyBorder="1" applyAlignment="1">
      <alignment vertical="center"/>
    </xf>
    <xf numFmtId="164" fontId="37" fillId="17" borderId="19" xfId="0" applyNumberFormat="1" applyFont="1" applyFill="1" applyBorder="1" applyAlignment="1">
      <alignment vertical="center"/>
    </xf>
    <xf numFmtId="0" fontId="34" fillId="5" borderId="76" xfId="0" applyFont="1" applyFill="1" applyBorder="1" applyAlignment="1">
      <alignment vertical="center"/>
    </xf>
    <xf numFmtId="0" fontId="34" fillId="5" borderId="79" xfId="0" applyFont="1" applyFill="1" applyBorder="1" applyAlignment="1">
      <alignment vertical="center"/>
    </xf>
    <xf numFmtId="0" fontId="0" fillId="5" borderId="79" xfId="0" applyFill="1" applyBorder="1" applyAlignment="1">
      <alignment vertical="center"/>
    </xf>
    <xf numFmtId="164" fontId="41" fillId="5" borderId="16" xfId="0" applyNumberFormat="1" applyFont="1" applyFill="1" applyBorder="1" applyAlignment="1">
      <alignment vertical="center"/>
    </xf>
    <xf numFmtId="164" fontId="41" fillId="5" borderId="78" xfId="0" applyNumberFormat="1" applyFont="1" applyFill="1" applyBorder="1" applyAlignment="1">
      <alignment vertical="center"/>
    </xf>
    <xf numFmtId="164" fontId="0" fillId="5" borderId="17" xfId="0" applyNumberFormat="1" applyFill="1" applyBorder="1" applyAlignment="1">
      <alignment vertical="center"/>
    </xf>
    <xf numFmtId="164" fontId="0" fillId="5" borderId="78" xfId="0" applyNumberFormat="1" applyFill="1" applyBorder="1" applyAlignment="1">
      <alignment vertical="center"/>
    </xf>
    <xf numFmtId="0" fontId="0" fillId="10" borderId="65" xfId="0" applyFill="1" applyBorder="1" applyAlignment="1">
      <alignment vertical="center"/>
    </xf>
    <xf numFmtId="0" fontId="0" fillId="10" borderId="76" xfId="0" applyFill="1" applyBorder="1" applyAlignment="1">
      <alignment vertical="center"/>
    </xf>
    <xf numFmtId="164" fontId="41" fillId="10" borderId="16" xfId="0" applyNumberFormat="1" applyFont="1" applyFill="1" applyBorder="1" applyAlignment="1">
      <alignment vertical="center"/>
    </xf>
    <xf numFmtId="164" fontId="41" fillId="10" borderId="78" xfId="0" applyNumberFormat="1" applyFont="1" applyFill="1" applyBorder="1" applyAlignment="1">
      <alignment vertical="center"/>
    </xf>
    <xf numFmtId="164" fontId="0" fillId="10" borderId="17" xfId="0" applyNumberFormat="1" applyFill="1" applyBorder="1" applyAlignment="1">
      <alignment vertical="center"/>
    </xf>
    <xf numFmtId="164" fontId="0" fillId="10" borderId="65" xfId="0" applyNumberFormat="1" applyFill="1" applyBorder="1" applyAlignment="1">
      <alignment vertical="center"/>
    </xf>
    <xf numFmtId="164" fontId="13" fillId="10" borderId="17" xfId="0" applyNumberFormat="1" applyFont="1" applyFill="1" applyBorder="1" applyAlignment="1">
      <alignment vertical="center"/>
    </xf>
    <xf numFmtId="164" fontId="13" fillId="10" borderId="65" xfId="0" applyNumberFormat="1" applyFont="1" applyFill="1" applyBorder="1" applyAlignment="1">
      <alignment vertical="center"/>
    </xf>
    <xf numFmtId="0" fontId="1" fillId="11" borderId="65" xfId="0" applyFont="1" applyFill="1" applyBorder="1" applyAlignment="1">
      <alignment vertical="center"/>
    </xf>
    <xf numFmtId="0" fontId="1" fillId="11" borderId="76" xfId="0" applyFont="1" applyFill="1" applyBorder="1" applyAlignment="1">
      <alignment vertical="center"/>
    </xf>
    <xf numFmtId="164" fontId="41" fillId="11" borderId="16" xfId="0" applyNumberFormat="1" applyFont="1" applyFill="1" applyBorder="1" applyAlignment="1">
      <alignment vertical="center"/>
    </xf>
    <xf numFmtId="164" fontId="41" fillId="11" borderId="78" xfId="0" applyNumberFormat="1" applyFont="1" applyFill="1" applyBorder="1" applyAlignment="1">
      <alignment vertical="center"/>
    </xf>
    <xf numFmtId="164" fontId="13" fillId="11" borderId="17" xfId="0" applyNumberFormat="1" applyFont="1" applyFill="1" applyBorder="1" applyAlignment="1">
      <alignment vertical="center"/>
    </xf>
    <xf numFmtId="164" fontId="0" fillId="11" borderId="65" xfId="0" applyNumberFormat="1" applyFill="1" applyBorder="1" applyAlignment="1">
      <alignment vertical="center"/>
    </xf>
    <xf numFmtId="164" fontId="13" fillId="11" borderId="65" xfId="0" applyNumberFormat="1" applyFont="1" applyFill="1" applyBorder="1" applyAlignment="1">
      <alignment vertical="center"/>
    </xf>
    <xf numFmtId="164" fontId="34" fillId="10" borderId="65" xfId="0" applyNumberFormat="1" applyFont="1" applyFill="1" applyBorder="1" applyAlignment="1">
      <alignment vertical="center"/>
    </xf>
    <xf numFmtId="164" fontId="40" fillId="11" borderId="17" xfId="0" applyNumberFormat="1" applyFont="1" applyFill="1" applyBorder="1" applyAlignment="1">
      <alignment vertical="center"/>
    </xf>
    <xf numFmtId="164" fontId="1" fillId="11" borderId="65" xfId="0" applyNumberFormat="1" applyFont="1" applyFill="1" applyBorder="1" applyAlignment="1">
      <alignment vertical="center"/>
    </xf>
    <xf numFmtId="164" fontId="40" fillId="11" borderId="65" xfId="0" applyNumberFormat="1" applyFont="1" applyFill="1" applyBorder="1" applyAlignment="1">
      <alignment vertical="center"/>
    </xf>
    <xf numFmtId="0" fontId="40" fillId="11" borderId="65" xfId="0" applyFont="1" applyFill="1" applyBorder="1" applyAlignment="1">
      <alignment vertical="center"/>
    </xf>
    <xf numFmtId="0" fontId="40" fillId="11" borderId="76" xfId="0" applyFont="1" applyFill="1" applyBorder="1" applyAlignment="1">
      <alignment vertical="center"/>
    </xf>
    <xf numFmtId="0" fontId="0" fillId="5" borderId="0" xfId="0" applyFill="1" applyAlignment="1">
      <alignment vertical="center"/>
    </xf>
    <xf numFmtId="0" fontId="34" fillId="5" borderId="0" xfId="0" applyFont="1" applyFill="1" applyAlignment="1">
      <alignment vertical="center"/>
    </xf>
    <xf numFmtId="164" fontId="1" fillId="5" borderId="17" xfId="0" applyNumberFormat="1" applyFont="1" applyFill="1" applyBorder="1" applyAlignment="1">
      <alignment vertical="center"/>
    </xf>
    <xf numFmtId="164" fontId="1" fillId="5" borderId="65" xfId="0" applyNumberFormat="1" applyFont="1" applyFill="1" applyBorder="1" applyAlignment="1">
      <alignment vertical="center"/>
    </xf>
    <xf numFmtId="164" fontId="1" fillId="11" borderId="17" xfId="0" applyNumberFormat="1" applyFont="1" applyFill="1" applyBorder="1" applyAlignment="1">
      <alignment vertical="center"/>
    </xf>
    <xf numFmtId="164" fontId="41" fillId="10" borderId="84" xfId="0" applyNumberFormat="1" applyFont="1" applyFill="1" applyBorder="1" applyAlignment="1">
      <alignment vertical="center"/>
    </xf>
    <xf numFmtId="173" fontId="47" fillId="10" borderId="86" xfId="10" applyNumberFormat="1" applyFont="1" applyFill="1" applyBorder="1"/>
    <xf numFmtId="0" fontId="46" fillId="10" borderId="87" xfId="9" applyFill="1" applyBorder="1" applyAlignment="1">
      <alignment vertical="center"/>
    </xf>
    <xf numFmtId="164" fontId="41" fillId="10" borderId="88" xfId="0" applyNumberFormat="1" applyFont="1" applyFill="1" applyBorder="1" applyAlignment="1">
      <alignment vertical="center"/>
    </xf>
    <xf numFmtId="173" fontId="47" fillId="10" borderId="90" xfId="10" applyNumberFormat="1" applyFont="1" applyFill="1" applyBorder="1"/>
    <xf numFmtId="164" fontId="41" fillId="10" borderId="94" xfId="0" applyNumberFormat="1" applyFont="1" applyFill="1" applyBorder="1" applyAlignment="1">
      <alignment vertical="center"/>
    </xf>
    <xf numFmtId="173" fontId="47" fillId="10" borderId="96" xfId="10" applyNumberFormat="1" applyFont="1" applyFill="1" applyBorder="1"/>
    <xf numFmtId="173" fontId="47" fillId="10" borderId="65" xfId="10" applyNumberFormat="1" applyFont="1" applyFill="1" applyBorder="1"/>
    <xf numFmtId="173" fontId="48" fillId="10" borderId="65" xfId="10" applyNumberFormat="1" applyFont="1" applyFill="1" applyBorder="1"/>
    <xf numFmtId="164" fontId="0" fillId="11" borderId="17" xfId="0" applyNumberFormat="1" applyFill="1" applyBorder="1" applyAlignment="1">
      <alignment vertical="center"/>
    </xf>
    <xf numFmtId="164" fontId="34" fillId="11" borderId="65" xfId="0" applyNumberFormat="1" applyFont="1" applyFill="1" applyBorder="1" applyAlignment="1">
      <alignment vertical="center"/>
    </xf>
    <xf numFmtId="164" fontId="35" fillId="11" borderId="65" xfId="0" applyNumberFormat="1" applyFont="1" applyFill="1" applyBorder="1" applyAlignment="1">
      <alignment vertical="center"/>
    </xf>
    <xf numFmtId="0" fontId="13" fillId="10" borderId="65" xfId="0" applyFont="1" applyFill="1" applyBorder="1" applyAlignment="1">
      <alignment vertical="center"/>
    </xf>
    <xf numFmtId="172" fontId="49" fillId="0" borderId="0" xfId="0" applyNumberFormat="1" applyFont="1" applyAlignment="1">
      <alignment vertical="center"/>
    </xf>
    <xf numFmtId="0" fontId="49" fillId="0" borderId="0" xfId="0" applyFont="1" applyAlignment="1">
      <alignment vertical="center"/>
    </xf>
    <xf numFmtId="0" fontId="1" fillId="10" borderId="65" xfId="0" applyFont="1" applyFill="1" applyBorder="1" applyAlignment="1">
      <alignment vertical="center"/>
    </xf>
    <xf numFmtId="164" fontId="0" fillId="10" borderId="78" xfId="0" applyNumberFormat="1" applyFill="1" applyBorder="1" applyAlignment="1">
      <alignment vertical="center"/>
    </xf>
    <xf numFmtId="0" fontId="0" fillId="5" borderId="76" xfId="0" applyFill="1" applyBorder="1" applyAlignment="1">
      <alignment vertical="center"/>
    </xf>
    <xf numFmtId="164" fontId="1" fillId="5" borderId="78" xfId="0" applyNumberFormat="1" applyFont="1" applyFill="1" applyBorder="1" applyAlignment="1">
      <alignment vertical="center"/>
    </xf>
    <xf numFmtId="172" fontId="13" fillId="0" borderId="0" xfId="0" applyNumberFormat="1" applyFont="1" applyAlignment="1">
      <alignment vertical="center"/>
    </xf>
    <xf numFmtId="0" fontId="0" fillId="0" borderId="65" xfId="0" applyBorder="1" applyAlignment="1">
      <alignment vertical="center"/>
    </xf>
    <xf numFmtId="0" fontId="0" fillId="0" borderId="76" xfId="0" applyBorder="1" applyAlignment="1">
      <alignment vertical="center"/>
    </xf>
    <xf numFmtId="164" fontId="41" fillId="0" borderId="16" xfId="0" applyNumberFormat="1" applyFont="1" applyBorder="1" applyAlignment="1">
      <alignment vertical="center"/>
    </xf>
    <xf numFmtId="164" fontId="41" fillId="0" borderId="78" xfId="0" applyNumberFormat="1" applyFont="1" applyBorder="1" applyAlignment="1">
      <alignment vertical="center"/>
    </xf>
    <xf numFmtId="164" fontId="0" fillId="0" borderId="17" xfId="0" applyNumberFormat="1" applyBorder="1" applyAlignment="1">
      <alignment vertical="center"/>
    </xf>
    <xf numFmtId="164" fontId="0" fillId="0" borderId="65" xfId="0" applyNumberFormat="1" applyBorder="1" applyAlignment="1">
      <alignment vertical="center"/>
    </xf>
    <xf numFmtId="164" fontId="36" fillId="5" borderId="16" xfId="0" applyNumberFormat="1" applyFont="1" applyFill="1" applyBorder="1" applyAlignment="1">
      <alignment vertical="center"/>
    </xf>
    <xf numFmtId="164" fontId="36" fillId="5" borderId="78" xfId="0" applyNumberFormat="1" applyFont="1" applyFill="1" applyBorder="1" applyAlignment="1">
      <alignment vertical="center"/>
    </xf>
    <xf numFmtId="164" fontId="37" fillId="5" borderId="17" xfId="0" applyNumberFormat="1" applyFont="1" applyFill="1" applyBorder="1" applyAlignment="1">
      <alignment vertical="center"/>
    </xf>
    <xf numFmtId="164" fontId="20" fillId="5" borderId="78" xfId="0" applyNumberFormat="1" applyFont="1" applyFill="1" applyBorder="1" applyAlignment="1">
      <alignment vertical="center"/>
    </xf>
    <xf numFmtId="164" fontId="37" fillId="5" borderId="78" xfId="0" applyNumberFormat="1" applyFont="1" applyFill="1" applyBorder="1" applyAlignment="1">
      <alignment vertical="center"/>
    </xf>
    <xf numFmtId="0" fontId="34" fillId="18" borderId="79" xfId="0" applyFont="1" applyFill="1" applyBorder="1" applyAlignment="1">
      <alignment vertical="center"/>
    </xf>
    <xf numFmtId="164" fontId="36" fillId="18" borderId="16" xfId="0" applyNumberFormat="1" applyFont="1" applyFill="1" applyBorder="1" applyAlignment="1">
      <alignment vertical="center"/>
    </xf>
    <xf numFmtId="164" fontId="36" fillId="18" borderId="78" xfId="0" applyNumberFormat="1" applyFont="1" applyFill="1" applyBorder="1" applyAlignment="1">
      <alignment vertical="center"/>
    </xf>
    <xf numFmtId="164" fontId="37" fillId="18" borderId="17" xfId="0" applyNumberFormat="1" applyFont="1" applyFill="1" applyBorder="1" applyAlignment="1">
      <alignment vertical="center"/>
    </xf>
    <xf numFmtId="164" fontId="20" fillId="18" borderId="78" xfId="0" applyNumberFormat="1" applyFont="1" applyFill="1" applyBorder="1" applyAlignment="1">
      <alignment vertical="center"/>
    </xf>
    <xf numFmtId="164" fontId="37" fillId="18" borderId="78" xfId="0" applyNumberFormat="1" applyFont="1" applyFill="1" applyBorder="1" applyAlignment="1">
      <alignment vertical="center"/>
    </xf>
    <xf numFmtId="40" fontId="0" fillId="12" borderId="76" xfId="0" applyNumberFormat="1" applyFill="1" applyBorder="1" applyAlignment="1">
      <alignment vertical="center"/>
    </xf>
    <xf numFmtId="40" fontId="1" fillId="12" borderId="79" xfId="0" applyNumberFormat="1" applyFont="1" applyFill="1" applyBorder="1" applyAlignment="1">
      <alignment vertical="center"/>
    </xf>
    <xf numFmtId="40" fontId="41" fillId="12" borderId="16" xfId="0" applyNumberFormat="1" applyFont="1" applyFill="1" applyBorder="1" applyAlignment="1">
      <alignment vertical="center"/>
    </xf>
    <xf numFmtId="40" fontId="41" fillId="12" borderId="78" xfId="0" applyNumberFormat="1" applyFont="1" applyFill="1" applyBorder="1" applyAlignment="1">
      <alignment vertical="center"/>
    </xf>
    <xf numFmtId="40" fontId="40" fillId="12" borderId="17" xfId="0" applyNumberFormat="1" applyFont="1" applyFill="1" applyBorder="1" applyAlignment="1">
      <alignment vertical="center"/>
    </xf>
    <xf numFmtId="40" fontId="1" fillId="12" borderId="65" xfId="0" applyNumberFormat="1" applyFont="1" applyFill="1" applyBorder="1" applyAlignment="1">
      <alignment vertical="center"/>
    </xf>
    <xf numFmtId="40" fontId="40" fillId="12" borderId="65" xfId="0" applyNumberFormat="1" applyFont="1" applyFill="1" applyBorder="1" applyAlignment="1">
      <alignment vertical="center"/>
    </xf>
    <xf numFmtId="40" fontId="0" fillId="0" borderId="0" xfId="0" applyNumberFormat="1" applyAlignment="1">
      <alignment vertical="center"/>
    </xf>
    <xf numFmtId="164" fontId="41" fillId="0" borderId="20" xfId="0" applyNumberFormat="1" applyFont="1" applyBorder="1" applyAlignment="1">
      <alignment vertical="center"/>
    </xf>
    <xf numFmtId="164" fontId="41" fillId="0" borderId="0" xfId="0" applyNumberFormat="1" applyFont="1" applyAlignment="1">
      <alignment vertical="center"/>
    </xf>
    <xf numFmtId="164" fontId="0" fillId="0" borderId="21" xfId="0" applyNumberFormat="1" applyBorder="1" applyAlignment="1">
      <alignment vertical="center"/>
    </xf>
    <xf numFmtId="164" fontId="0" fillId="0" borderId="0" xfId="0" applyNumberFormat="1" applyAlignment="1">
      <alignment vertical="center"/>
    </xf>
    <xf numFmtId="0" fontId="0" fillId="0" borderId="0" xfId="0" applyAlignment="1">
      <alignment horizontal="left" vertical="center"/>
    </xf>
    <xf numFmtId="0" fontId="41" fillId="0" borderId="20" xfId="0" applyFont="1" applyBorder="1" applyAlignment="1">
      <alignment horizontal="center" vertical="center"/>
    </xf>
    <xf numFmtId="0" fontId="41" fillId="0" borderId="0" xfId="0" applyFont="1" applyAlignment="1">
      <alignment horizontal="center" vertical="center"/>
    </xf>
    <xf numFmtId="0" fontId="0" fillId="0" borderId="21" xfId="0" applyBorder="1" applyAlignment="1">
      <alignment vertical="center"/>
    </xf>
    <xf numFmtId="0" fontId="52" fillId="0" borderId="0" xfId="0" applyFont="1" applyAlignment="1">
      <alignment horizontal="right" vertical="center"/>
    </xf>
    <xf numFmtId="0" fontId="53" fillId="0" borderId="0" xfId="0" applyFont="1" applyAlignment="1">
      <alignment horizontal="right" vertical="center"/>
    </xf>
    <xf numFmtId="164" fontId="41" fillId="0" borderId="20" xfId="0" applyNumberFormat="1" applyFont="1" applyBorder="1" applyAlignment="1" applyProtection="1">
      <alignment vertical="center"/>
      <protection locked="0"/>
    </xf>
    <xf numFmtId="164" fontId="41" fillId="0" borderId="0" xfId="0" applyNumberFormat="1" applyFont="1" applyAlignment="1" applyProtection="1">
      <alignment vertical="center"/>
      <protection locked="0"/>
    </xf>
    <xf numFmtId="164" fontId="13" fillId="0" borderId="21" xfId="0" applyNumberFormat="1" applyFont="1" applyBorder="1" applyAlignment="1" applyProtection="1">
      <alignment vertical="center"/>
      <protection locked="0"/>
    </xf>
    <xf numFmtId="164" fontId="43" fillId="0" borderId="0" xfId="0" applyNumberFormat="1" applyFont="1" applyAlignment="1">
      <alignment vertical="center"/>
    </xf>
    <xf numFmtId="164" fontId="13" fillId="0" borderId="0" xfId="0" applyNumberFormat="1" applyFont="1" applyAlignment="1">
      <alignment vertical="center"/>
    </xf>
    <xf numFmtId="164" fontId="13" fillId="0" borderId="0" xfId="0" applyNumberFormat="1" applyFont="1" applyAlignment="1" applyProtection="1">
      <alignment vertical="center"/>
      <protection locked="0"/>
    </xf>
    <xf numFmtId="0" fontId="54" fillId="0" borderId="0" xfId="0" applyFont="1" applyAlignment="1">
      <alignment horizontal="right" vertical="center"/>
    </xf>
    <xf numFmtId="164" fontId="55" fillId="0" borderId="0" xfId="0" applyNumberFormat="1" applyFont="1" applyAlignment="1" applyProtection="1">
      <alignment vertical="center"/>
      <protection locked="0"/>
    </xf>
    <xf numFmtId="164" fontId="55" fillId="0" borderId="20" xfId="0" applyNumberFormat="1" applyFont="1" applyBorder="1" applyAlignment="1">
      <alignment vertical="center"/>
    </xf>
    <xf numFmtId="164" fontId="55" fillId="0" borderId="0" xfId="0" applyNumberFormat="1" applyFont="1" applyAlignment="1">
      <alignment vertical="center"/>
    </xf>
    <xf numFmtId="164" fontId="40" fillId="0" borderId="21" xfId="0" applyNumberFormat="1" applyFont="1" applyBorder="1" applyAlignment="1">
      <alignment vertical="center"/>
    </xf>
    <xf numFmtId="164" fontId="56" fillId="0" borderId="0" xfId="0" applyNumberFormat="1" applyFont="1" applyAlignment="1">
      <alignment vertical="center"/>
    </xf>
    <xf numFmtId="164" fontId="40" fillId="0" borderId="0" xfId="0" applyNumberFormat="1" applyFont="1" applyAlignment="1">
      <alignment vertical="center"/>
    </xf>
    <xf numFmtId="164" fontId="55" fillId="0" borderId="20" xfId="0" applyNumberFormat="1" applyFont="1" applyBorder="1" applyAlignment="1" applyProtection="1">
      <alignment vertical="center"/>
      <protection locked="0"/>
    </xf>
    <xf numFmtId="0" fontId="13" fillId="0" borderId="0" xfId="0" applyFont="1" applyAlignment="1">
      <alignment vertical="center"/>
    </xf>
    <xf numFmtId="164" fontId="13" fillId="0" borderId="21" xfId="0" applyNumberFormat="1" applyFont="1" applyBorder="1" applyAlignment="1">
      <alignment vertical="center"/>
    </xf>
    <xf numFmtId="164" fontId="57" fillId="0" borderId="0" xfId="0" applyNumberFormat="1" applyFont="1" applyAlignment="1">
      <alignment vertical="center"/>
    </xf>
    <xf numFmtId="164" fontId="0" fillId="0" borderId="21" xfId="0" applyNumberFormat="1" applyBorder="1" applyAlignment="1" applyProtection="1">
      <alignment vertical="center"/>
      <protection locked="0"/>
    </xf>
    <xf numFmtId="164" fontId="0" fillId="0" borderId="0" xfId="0" applyNumberFormat="1" applyAlignment="1" applyProtection="1">
      <alignment vertical="center"/>
      <protection locked="0"/>
    </xf>
    <xf numFmtId="0" fontId="55" fillId="0" borderId="20" xfId="0" applyFont="1" applyBorder="1" applyAlignment="1">
      <alignment vertical="center"/>
    </xf>
    <xf numFmtId="0" fontId="55" fillId="0" borderId="0" xfId="0" applyFont="1" applyAlignment="1">
      <alignment vertical="center"/>
    </xf>
    <xf numFmtId="164" fontId="55" fillId="0" borderId="20" xfId="0" applyNumberFormat="1" applyFont="1" applyBorder="1" applyAlignment="1">
      <alignment horizontal="center" vertical="center"/>
    </xf>
    <xf numFmtId="164" fontId="55" fillId="0" borderId="0" xfId="0" applyNumberFormat="1" applyFont="1" applyAlignment="1">
      <alignment horizontal="center" vertical="center"/>
    </xf>
    <xf numFmtId="164" fontId="1" fillId="0" borderId="21" xfId="0" applyNumberFormat="1" applyFont="1" applyBorder="1" applyAlignment="1">
      <alignment vertical="center"/>
    </xf>
    <xf numFmtId="164" fontId="1" fillId="0" borderId="0" xfId="0" applyNumberFormat="1" applyFont="1" applyAlignment="1">
      <alignment vertical="center"/>
    </xf>
    <xf numFmtId="0" fontId="58" fillId="0" borderId="0" xfId="0" applyFont="1" applyAlignment="1">
      <alignment horizontal="right" vertical="center" wrapText="1"/>
    </xf>
    <xf numFmtId="164" fontId="1" fillId="0" borderId="0" xfId="0" applyNumberFormat="1" applyFont="1" applyAlignment="1" applyProtection="1">
      <alignment vertical="center"/>
      <protection locked="0"/>
    </xf>
    <xf numFmtId="0" fontId="21" fillId="0" borderId="0" xfId="0" quotePrefix="1" applyFont="1" applyAlignment="1">
      <alignment horizontal="right" vertical="center"/>
    </xf>
    <xf numFmtId="164" fontId="55" fillId="0" borderId="20" xfId="0" quotePrefix="1" applyNumberFormat="1" applyFont="1" applyBorder="1" applyAlignment="1">
      <alignment vertical="center"/>
    </xf>
    <xf numFmtId="164" fontId="55" fillId="0" borderId="0" xfId="0" quotePrefix="1" applyNumberFormat="1" applyFont="1" applyAlignment="1">
      <alignment vertical="center"/>
    </xf>
    <xf numFmtId="0" fontId="53" fillId="0" borderId="0" xfId="0" applyFont="1" applyAlignment="1">
      <alignment horizontal="right" vertical="center" wrapText="1"/>
    </xf>
    <xf numFmtId="164" fontId="59" fillId="0" borderId="0" xfId="0" applyNumberFormat="1" applyFont="1" applyAlignment="1">
      <alignment vertical="center"/>
    </xf>
    <xf numFmtId="49" fontId="20" fillId="0" borderId="0" xfId="0" applyNumberFormat="1" applyFont="1" applyAlignment="1">
      <alignment horizontal="right" vertical="center"/>
    </xf>
    <xf numFmtId="164" fontId="60" fillId="0" borderId="20" xfId="0" applyNumberFormat="1" applyFont="1" applyBorder="1" applyAlignment="1">
      <alignment vertical="center"/>
    </xf>
    <xf numFmtId="164" fontId="60" fillId="0" borderId="0" xfId="0" applyNumberFormat="1" applyFont="1" applyAlignment="1">
      <alignment vertical="center"/>
    </xf>
    <xf numFmtId="0" fontId="21" fillId="0" borderId="0" xfId="0" applyFont="1" applyAlignment="1">
      <alignment vertical="center"/>
    </xf>
    <xf numFmtId="0" fontId="41" fillId="0" borderId="20" xfId="0" applyFont="1" applyBorder="1" applyAlignment="1">
      <alignment vertical="center"/>
    </xf>
    <xf numFmtId="0" fontId="41" fillId="0" borderId="0" xfId="0" applyFont="1" applyAlignment="1">
      <alignment vertical="center"/>
    </xf>
    <xf numFmtId="0" fontId="20" fillId="0" borderId="0" xfId="0" applyFont="1" applyAlignment="1">
      <alignment horizontal="right" vertical="center"/>
    </xf>
    <xf numFmtId="164" fontId="61" fillId="0" borderId="20" xfId="0" applyNumberFormat="1" applyFont="1" applyBorder="1" applyAlignment="1">
      <alignment vertical="center"/>
    </xf>
    <xf numFmtId="164" fontId="61" fillId="0" borderId="0" xfId="0" applyNumberFormat="1" applyFont="1" applyAlignment="1">
      <alignment vertical="center"/>
    </xf>
    <xf numFmtId="164" fontId="13" fillId="0" borderId="17" xfId="0" applyNumberFormat="1" applyFont="1" applyBorder="1" applyAlignment="1">
      <alignment vertical="center"/>
    </xf>
    <xf numFmtId="164" fontId="0" fillId="0" borderId="0" xfId="0" applyNumberFormat="1" applyAlignment="1">
      <alignment horizontal="center" vertical="center"/>
    </xf>
    <xf numFmtId="0" fontId="0" fillId="0" borderId="66" xfId="0" applyBorder="1"/>
    <xf numFmtId="164" fontId="35" fillId="0" borderId="17" xfId="0" applyNumberFormat="1" applyFont="1" applyBorder="1" applyAlignment="1">
      <alignment vertical="center"/>
    </xf>
    <xf numFmtId="172" fontId="1" fillId="0" borderId="0" xfId="0" applyNumberFormat="1" applyFont="1" applyAlignment="1">
      <alignment horizontal="left" vertical="center"/>
    </xf>
    <xf numFmtId="164" fontId="41" fillId="0" borderId="89" xfId="0" applyNumberFormat="1" applyFont="1" applyBorder="1" applyAlignment="1">
      <alignment vertical="center"/>
    </xf>
    <xf numFmtId="0" fontId="46" fillId="0" borderId="87" xfId="9" applyBorder="1" applyAlignment="1">
      <alignment vertical="center"/>
    </xf>
    <xf numFmtId="0" fontId="46" fillId="0" borderId="64" xfId="9" applyBorder="1" applyAlignment="1">
      <alignment vertical="center"/>
    </xf>
    <xf numFmtId="0" fontId="46" fillId="0" borderId="65" xfId="9" applyBorder="1" applyAlignment="1">
      <alignment vertical="center"/>
    </xf>
    <xf numFmtId="0" fontId="46" fillId="0" borderId="76" xfId="9" applyBorder="1" applyAlignment="1">
      <alignment vertical="center"/>
    </xf>
    <xf numFmtId="0" fontId="46" fillId="0" borderId="88" xfId="9" applyBorder="1" applyAlignment="1">
      <alignment vertical="center"/>
    </xf>
    <xf numFmtId="0" fontId="46" fillId="0" borderId="81" xfId="9" applyBorder="1" applyAlignment="1">
      <alignment vertical="center"/>
    </xf>
    <xf numFmtId="0" fontId="46" fillId="0" borderId="82" xfId="9" applyBorder="1" applyAlignment="1">
      <alignment vertical="center"/>
    </xf>
    <xf numFmtId="164" fontId="41" fillId="0" borderId="83" xfId="0" applyNumberFormat="1" applyFont="1" applyBorder="1" applyAlignment="1">
      <alignment vertical="center"/>
    </xf>
    <xf numFmtId="164" fontId="41" fillId="0" borderId="84" xfId="0" applyNumberFormat="1" applyFont="1" applyBorder="1" applyAlignment="1">
      <alignment vertical="center"/>
    </xf>
    <xf numFmtId="164" fontId="41" fillId="0" borderId="85" xfId="0" applyNumberFormat="1" applyFont="1" applyBorder="1" applyAlignment="1">
      <alignment vertical="center"/>
    </xf>
    <xf numFmtId="164" fontId="41" fillId="0" borderId="63" xfId="0" applyNumberFormat="1" applyFont="1" applyBorder="1" applyAlignment="1">
      <alignment vertical="center"/>
    </xf>
    <xf numFmtId="164" fontId="41" fillId="0" borderId="88" xfId="0" applyNumberFormat="1" applyFont="1" applyBorder="1" applyAlignment="1">
      <alignment vertical="center"/>
    </xf>
    <xf numFmtId="0" fontId="46" fillId="0" borderId="91" xfId="9" applyBorder="1" applyAlignment="1">
      <alignment vertical="center"/>
    </xf>
    <xf numFmtId="0" fontId="46" fillId="0" borderId="92" xfId="9" applyBorder="1" applyAlignment="1">
      <alignment vertical="center"/>
    </xf>
    <xf numFmtId="164" fontId="41" fillId="0" borderId="93" xfId="0" applyNumberFormat="1" applyFont="1" applyBorder="1" applyAlignment="1">
      <alignment vertical="center"/>
    </xf>
    <xf numFmtId="164" fontId="41" fillId="0" borderId="94" xfId="0" applyNumberFormat="1" applyFont="1" applyBorder="1" applyAlignment="1">
      <alignment vertical="center"/>
    </xf>
    <xf numFmtId="164" fontId="41" fillId="0" borderId="95" xfId="0" applyNumberFormat="1" applyFont="1" applyBorder="1" applyAlignment="1">
      <alignment vertical="center"/>
    </xf>
    <xf numFmtId="0" fontId="40" fillId="0" borderId="76" xfId="0" applyFont="1" applyBorder="1" applyAlignment="1">
      <alignment vertical="center"/>
    </xf>
    <xf numFmtId="0" fontId="13" fillId="0" borderId="76" xfId="0" applyFont="1" applyBorder="1" applyAlignment="1">
      <alignment vertical="center"/>
    </xf>
    <xf numFmtId="0" fontId="1" fillId="0" borderId="65" xfId="0" applyFont="1" applyBorder="1" applyAlignment="1">
      <alignment vertical="center"/>
    </xf>
    <xf numFmtId="0" fontId="1" fillId="0" borderId="76" xfId="0" applyFont="1" applyBorder="1" applyAlignment="1">
      <alignment vertical="center"/>
    </xf>
    <xf numFmtId="164" fontId="1" fillId="0" borderId="17" xfId="0" applyNumberFormat="1" applyFont="1" applyBorder="1" applyAlignment="1">
      <alignment vertical="center"/>
    </xf>
    <xf numFmtId="164" fontId="40" fillId="0" borderId="17" xfId="0" applyNumberFormat="1" applyFont="1" applyBorder="1" applyAlignment="1">
      <alignment vertical="center"/>
    </xf>
    <xf numFmtId="0" fontId="0" fillId="0" borderId="65" xfId="0" quotePrefix="1" applyBorder="1" applyAlignment="1">
      <alignment vertical="center"/>
    </xf>
    <xf numFmtId="0" fontId="13" fillId="0" borderId="65" xfId="0" quotePrefix="1" applyFont="1" applyBorder="1" applyAlignment="1">
      <alignment vertical="center"/>
    </xf>
    <xf numFmtId="0" fontId="50" fillId="0" borderId="88" xfId="9" applyFont="1" applyBorder="1" applyAlignment="1">
      <alignment vertical="center"/>
    </xf>
    <xf numFmtId="0" fontId="50" fillId="0" borderId="64" xfId="9" applyFont="1" applyBorder="1" applyAlignment="1">
      <alignment vertical="center"/>
    </xf>
    <xf numFmtId="0" fontId="51" fillId="0" borderId="76" xfId="0" applyFont="1" applyBorder="1" applyAlignment="1">
      <alignment vertical="center"/>
    </xf>
    <xf numFmtId="164" fontId="40" fillId="0" borderId="0" xfId="0" applyNumberFormat="1" applyFont="1"/>
    <xf numFmtId="0" fontId="62" fillId="0" borderId="5" xfId="0" applyFont="1" applyBorder="1" applyProtection="1">
      <protection locked="0"/>
    </xf>
    <xf numFmtId="0" fontId="62" fillId="0" borderId="1" xfId="0" applyFont="1" applyBorder="1" applyProtection="1">
      <protection locked="0"/>
    </xf>
    <xf numFmtId="0" fontId="62" fillId="0" borderId="5" xfId="0" applyFont="1" applyBorder="1" applyAlignment="1" applyProtection="1">
      <alignment wrapText="1"/>
      <protection locked="0"/>
    </xf>
    <xf numFmtId="0" fontId="13" fillId="0" borderId="0" xfId="0" applyFont="1" applyAlignment="1" applyProtection="1">
      <alignment wrapText="1"/>
      <protection locked="0"/>
    </xf>
    <xf numFmtId="0" fontId="20" fillId="6" borderId="97" xfId="0" applyFont="1" applyFill="1" applyBorder="1"/>
    <xf numFmtId="164" fontId="21" fillId="9" borderId="0" xfId="0" applyNumberFormat="1" applyFont="1" applyFill="1"/>
    <xf numFmtId="0" fontId="6" fillId="4" borderId="98" xfId="0" applyFont="1" applyFill="1" applyBorder="1" applyAlignment="1" applyProtection="1">
      <alignment horizontal="left" vertical="top"/>
      <protection locked="0"/>
    </xf>
    <xf numFmtId="0" fontId="21" fillId="0" borderId="0" xfId="0" applyFont="1" applyAlignment="1">
      <alignment vertical="top" wrapText="1"/>
    </xf>
    <xf numFmtId="0" fontId="63" fillId="0" borderId="0" xfId="0" applyFont="1" applyAlignment="1">
      <alignment vertical="top" wrapText="1"/>
    </xf>
    <xf numFmtId="0" fontId="0" fillId="0" borderId="0" xfId="0" applyAlignment="1" applyProtection="1">
      <alignment vertical="top" wrapText="1"/>
      <protection locked="0"/>
    </xf>
    <xf numFmtId="0" fontId="21" fillId="0" borderId="62" xfId="0" applyFont="1" applyBorder="1" applyAlignment="1">
      <alignment horizontal="center" wrapText="1"/>
    </xf>
    <xf numFmtId="0" fontId="21" fillId="0" borderId="44" xfId="0" applyFont="1" applyBorder="1" applyAlignment="1">
      <alignment horizontal="center" wrapText="1"/>
    </xf>
    <xf numFmtId="0" fontId="21" fillId="0" borderId="45" xfId="0" applyFont="1" applyBorder="1" applyAlignment="1">
      <alignment horizontal="center" wrapText="1"/>
    </xf>
    <xf numFmtId="164" fontId="21" fillId="6" borderId="98" xfId="0" applyNumberFormat="1" applyFont="1" applyFill="1" applyBorder="1"/>
    <xf numFmtId="0" fontId="21" fillId="0" borderId="98" xfId="0" applyFont="1" applyBorder="1" applyAlignment="1">
      <alignment horizontal="center" vertical="top" wrapText="1"/>
    </xf>
    <xf numFmtId="0" fontId="0" fillId="6" borderId="98" xfId="0" applyFill="1" applyBorder="1"/>
    <xf numFmtId="8" fontId="26" fillId="0" borderId="98" xfId="0" applyNumberFormat="1" applyFont="1" applyBorder="1" applyAlignment="1">
      <alignment horizontal="right" vertical="top"/>
    </xf>
    <xf numFmtId="8" fontId="14" fillId="0" borderId="98" xfId="0" applyNumberFormat="1" applyFont="1" applyBorder="1" applyAlignment="1">
      <alignment horizontal="right" vertical="top"/>
    </xf>
    <xf numFmtId="0" fontId="20" fillId="6" borderId="98" xfId="0" applyFont="1" applyFill="1" applyBorder="1"/>
    <xf numFmtId="0" fontId="21" fillId="0" borderId="98" xfId="0" applyFont="1" applyBorder="1" applyAlignment="1">
      <alignment horizontal="center" wrapText="1"/>
    </xf>
    <xf numFmtId="164" fontId="20" fillId="6" borderId="98" xfId="0" applyNumberFormat="1" applyFont="1" applyFill="1" applyBorder="1"/>
    <xf numFmtId="164" fontId="22" fillId="6" borderId="98" xfId="0" applyNumberFormat="1" applyFont="1" applyFill="1" applyBorder="1"/>
    <xf numFmtId="0" fontId="0" fillId="0" borderId="0" xfId="0" applyAlignment="1" applyProtection="1">
      <alignment horizontal="left" wrapText="1"/>
      <protection locked="0"/>
    </xf>
    <xf numFmtId="164" fontId="0" fillId="0" borderId="102" xfId="0" applyNumberFormat="1" applyBorder="1" applyProtection="1">
      <protection locked="0"/>
    </xf>
    <xf numFmtId="164" fontId="65" fillId="0" borderId="103" xfId="0" applyNumberFormat="1" applyFont="1" applyBorder="1" applyProtection="1">
      <protection locked="0"/>
    </xf>
    <xf numFmtId="164" fontId="65" fillId="0" borderId="101" xfId="0" applyNumberFormat="1" applyFont="1" applyBorder="1" applyProtection="1">
      <protection locked="0"/>
    </xf>
    <xf numFmtId="164" fontId="21" fillId="0" borderId="20" xfId="0" applyNumberFormat="1" applyFont="1" applyBorder="1" applyAlignment="1">
      <alignment horizontal="right" wrapText="1"/>
    </xf>
    <xf numFmtId="164" fontId="21" fillId="0" borderId="0" xfId="0" applyNumberFormat="1" applyFont="1" applyAlignment="1">
      <alignment horizontal="right" wrapText="1"/>
    </xf>
    <xf numFmtId="0" fontId="0" fillId="0" borderId="0" xfId="0" applyAlignment="1">
      <alignment horizontal="left" wrapText="1"/>
    </xf>
    <xf numFmtId="0" fontId="0" fillId="0" borderId="53" xfId="0" applyBorder="1" applyAlignment="1">
      <alignment horizontal="left" vertical="center" wrapText="1" indent="1"/>
    </xf>
    <xf numFmtId="164" fontId="13" fillId="18" borderId="104" xfId="0" applyNumberFormat="1" applyFont="1" applyFill="1" applyBorder="1" applyAlignment="1">
      <alignment horizontal="right" vertical="center" wrapText="1"/>
    </xf>
    <xf numFmtId="164" fontId="34" fillId="18" borderId="104" xfId="0" applyNumberFormat="1" applyFont="1" applyFill="1" applyBorder="1" applyAlignment="1">
      <alignment horizontal="right" vertical="center"/>
    </xf>
    <xf numFmtId="164" fontId="0" fillId="18" borderId="104" xfId="0" applyNumberFormat="1" applyFill="1" applyBorder="1" applyAlignment="1">
      <alignment horizontal="right" vertical="center"/>
    </xf>
    <xf numFmtId="164" fontId="0" fillId="17" borderId="104" xfId="0" applyNumberFormat="1" applyFill="1" applyBorder="1" applyAlignment="1">
      <alignment horizontal="right" vertical="center"/>
    </xf>
    <xf numFmtId="164" fontId="13" fillId="18" borderId="104" xfId="0" applyNumberFormat="1" applyFont="1" applyFill="1" applyBorder="1" applyAlignment="1">
      <alignment horizontal="right" vertical="center"/>
    </xf>
    <xf numFmtId="164" fontId="1" fillId="17" borderId="100" xfId="0" applyNumberFormat="1" applyFont="1" applyFill="1" applyBorder="1" applyAlignment="1">
      <alignment vertical="center"/>
    </xf>
    <xf numFmtId="164" fontId="66" fillId="18" borderId="104" xfId="0" applyNumberFormat="1" applyFont="1" applyFill="1" applyBorder="1" applyAlignment="1">
      <alignment vertical="center"/>
    </xf>
    <xf numFmtId="164" fontId="13" fillId="18" borderId="104" xfId="0" applyNumberFormat="1" applyFont="1" applyFill="1" applyBorder="1" applyAlignment="1">
      <alignment vertical="center"/>
    </xf>
    <xf numFmtId="164" fontId="43" fillId="18" borderId="104" xfId="0" applyNumberFormat="1" applyFont="1" applyFill="1" applyBorder="1" applyAlignment="1">
      <alignment vertical="center"/>
    </xf>
    <xf numFmtId="164" fontId="37" fillId="17" borderId="104" xfId="0" applyNumberFormat="1" applyFont="1" applyFill="1" applyBorder="1" applyAlignment="1">
      <alignment vertical="center"/>
    </xf>
    <xf numFmtId="164" fontId="51" fillId="18" borderId="100" xfId="0" applyNumberFormat="1" applyFont="1" applyFill="1" applyBorder="1" applyAlignment="1">
      <alignment vertical="center"/>
    </xf>
    <xf numFmtId="164" fontId="37" fillId="17" borderId="80" xfId="0" applyNumberFormat="1" applyFont="1" applyFill="1" applyBorder="1" applyAlignment="1">
      <alignment vertical="center"/>
    </xf>
    <xf numFmtId="164" fontId="0" fillId="5" borderId="100" xfId="0" applyNumberFormat="1" applyFill="1" applyBorder="1" applyAlignment="1">
      <alignment vertical="center"/>
    </xf>
    <xf numFmtId="164" fontId="34" fillId="10" borderId="104" xfId="0" applyNumberFormat="1" applyFont="1" applyFill="1" applyBorder="1" applyAlignment="1">
      <alignment vertical="center"/>
    </xf>
    <xf numFmtId="164" fontId="13" fillId="10" borderId="104" xfId="0" applyNumberFormat="1" applyFont="1" applyFill="1" applyBorder="1" applyAlignment="1">
      <alignment vertical="center"/>
    </xf>
    <xf numFmtId="164" fontId="13" fillId="11" borderId="104" xfId="0" applyNumberFormat="1" applyFont="1" applyFill="1" applyBorder="1" applyAlignment="1">
      <alignment vertical="center"/>
    </xf>
    <xf numFmtId="164" fontId="40" fillId="11" borderId="104" xfId="0" applyNumberFormat="1" applyFont="1" applyFill="1" applyBorder="1" applyAlignment="1">
      <alignment vertical="center"/>
    </xf>
    <xf numFmtId="164" fontId="1" fillId="5" borderId="104" xfId="0" applyNumberFormat="1" applyFont="1" applyFill="1" applyBorder="1" applyAlignment="1">
      <alignment vertical="center"/>
    </xf>
    <xf numFmtId="164" fontId="1" fillId="11" borderId="104" xfId="0" applyNumberFormat="1" applyFont="1" applyFill="1" applyBorder="1" applyAlignment="1">
      <alignment vertical="center"/>
    </xf>
    <xf numFmtId="164" fontId="0" fillId="11" borderId="104" xfId="0" applyNumberFormat="1" applyFill="1" applyBorder="1" applyAlignment="1">
      <alignment vertical="center"/>
    </xf>
    <xf numFmtId="164" fontId="0" fillId="10" borderId="104" xfId="0" applyNumberFormat="1" applyFill="1" applyBorder="1" applyAlignment="1">
      <alignment vertical="center"/>
    </xf>
    <xf numFmtId="164" fontId="0" fillId="10" borderId="100" xfId="0" applyNumberFormat="1" applyFill="1" applyBorder="1" applyAlignment="1">
      <alignment vertical="center"/>
    </xf>
    <xf numFmtId="164" fontId="1" fillId="5" borderId="100" xfId="0" applyNumberFormat="1" applyFont="1" applyFill="1" applyBorder="1" applyAlignment="1">
      <alignment vertical="center"/>
    </xf>
    <xf numFmtId="164" fontId="0" fillId="0" borderId="104" xfId="0" applyNumberFormat="1" applyBorder="1" applyAlignment="1">
      <alignment vertical="center"/>
    </xf>
    <xf numFmtId="164" fontId="37" fillId="5" borderId="100" xfId="0" applyNumberFormat="1" applyFont="1" applyFill="1" applyBorder="1" applyAlignment="1">
      <alignment vertical="center"/>
    </xf>
    <xf numFmtId="164" fontId="37" fillId="18" borderId="100" xfId="0" applyNumberFormat="1" applyFont="1" applyFill="1" applyBorder="1" applyAlignment="1">
      <alignment vertical="center"/>
    </xf>
    <xf numFmtId="40" fontId="40" fillId="12" borderId="104" xfId="0" applyNumberFormat="1" applyFont="1" applyFill="1" applyBorder="1" applyAlignment="1">
      <alignment vertical="center"/>
    </xf>
    <xf numFmtId="164" fontId="41" fillId="0" borderId="105" xfId="0" applyNumberFormat="1" applyFont="1" applyBorder="1" applyAlignment="1">
      <alignment vertical="center"/>
    </xf>
    <xf numFmtId="0" fontId="0" fillId="12" borderId="76" xfId="0" applyFill="1" applyBorder="1" applyAlignment="1">
      <alignment vertical="center"/>
    </xf>
    <xf numFmtId="164" fontId="6" fillId="0" borderId="0" xfId="2" applyNumberFormat="1" applyFont="1" applyFill="1" applyBorder="1" applyAlignment="1" applyProtection="1">
      <alignment horizontal="right" vertical="top"/>
    </xf>
    <xf numFmtId="164" fontId="6" fillId="0" borderId="0" xfId="2" applyNumberFormat="1" applyFont="1" applyFill="1" applyBorder="1" applyAlignment="1" applyProtection="1">
      <alignment horizontal="right" vertical="top" wrapText="1"/>
    </xf>
    <xf numFmtId="164" fontId="6" fillId="0" borderId="0" xfId="0" applyNumberFormat="1" applyFont="1" applyAlignment="1">
      <alignment horizontal="right" vertical="top"/>
    </xf>
    <xf numFmtId="164" fontId="26" fillId="0" borderId="0" xfId="2" applyNumberFormat="1" applyFont="1" applyFill="1" applyBorder="1" applyAlignment="1" applyProtection="1">
      <alignment horizontal="right" vertical="top"/>
    </xf>
    <xf numFmtId="164" fontId="6" fillId="0" borderId="0" xfId="2" applyNumberFormat="1" applyFont="1" applyFill="1" applyBorder="1" applyAlignment="1" applyProtection="1">
      <alignment vertical="top"/>
    </xf>
    <xf numFmtId="164" fontId="6" fillId="0" borderId="0" xfId="0" applyNumberFormat="1" applyFont="1" applyAlignment="1">
      <alignment vertical="top"/>
    </xf>
    <xf numFmtId="164" fontId="1" fillId="7" borderId="0" xfId="0" applyNumberFormat="1" applyFont="1" applyFill="1"/>
    <xf numFmtId="164" fontId="67" fillId="7" borderId="0" xfId="0" applyNumberFormat="1" applyFont="1" applyFill="1"/>
    <xf numFmtId="164" fontId="57" fillId="7" borderId="0" xfId="0" applyNumberFormat="1" applyFont="1" applyFill="1"/>
    <xf numFmtId="164" fontId="13" fillId="6" borderId="0" xfId="0" applyNumberFormat="1" applyFont="1" applyFill="1"/>
    <xf numFmtId="0" fontId="1" fillId="0" borderId="0" xfId="0" applyFont="1" applyAlignment="1">
      <alignment horizontal="left" wrapText="1"/>
    </xf>
    <xf numFmtId="0" fontId="0" fillId="0" borderId="8" xfId="0" applyBorder="1" applyAlignment="1">
      <alignment vertical="center"/>
    </xf>
    <xf numFmtId="0" fontId="0" fillId="0" borderId="7" xfId="0" applyBorder="1" applyAlignment="1">
      <alignment vertical="center"/>
    </xf>
    <xf numFmtId="0" fontId="36" fillId="0" borderId="6" xfId="0" applyFont="1" applyBorder="1" applyAlignment="1">
      <alignment horizontal="center" vertical="center"/>
    </xf>
    <xf numFmtId="0" fontId="37" fillId="0" borderId="108" xfId="0" applyFont="1" applyBorder="1" applyAlignment="1">
      <alignment horizontal="center" vertical="center"/>
    </xf>
    <xf numFmtId="0" fontId="38" fillId="0" borderId="6" xfId="0" applyFont="1" applyBorder="1" applyAlignment="1">
      <alignment horizontal="center" vertical="center"/>
    </xf>
    <xf numFmtId="0" fontId="68" fillId="0" borderId="6" xfId="0" applyFont="1" applyBorder="1" applyAlignment="1">
      <alignment horizontal="center" vertical="center"/>
    </xf>
    <xf numFmtId="0" fontId="37" fillId="0" borderId="42" xfId="0" applyFont="1" applyBorder="1" applyAlignment="1">
      <alignment horizontal="center" vertical="center"/>
    </xf>
    <xf numFmtId="0" fontId="68" fillId="0" borderId="4" xfId="0" applyFont="1" applyBorder="1" applyAlignment="1">
      <alignment horizontal="center" vertical="center"/>
    </xf>
    <xf numFmtId="0" fontId="1" fillId="0" borderId="1" xfId="0" applyFont="1" applyBorder="1" applyAlignment="1">
      <alignment vertical="center"/>
    </xf>
    <xf numFmtId="14" fontId="37" fillId="0" borderId="80" xfId="0" applyNumberFormat="1" applyFont="1" applyBorder="1" applyAlignment="1">
      <alignment horizontal="center" vertical="center"/>
    </xf>
    <xf numFmtId="14" fontId="69" fillId="0" borderId="75" xfId="0" applyNumberFormat="1" applyFont="1" applyBorder="1" applyAlignment="1">
      <alignment horizontal="center" vertical="center" wrapText="1"/>
    </xf>
    <xf numFmtId="14" fontId="70" fillId="0" borderId="75" xfId="0" applyNumberFormat="1" applyFont="1" applyBorder="1" applyAlignment="1">
      <alignment horizontal="center" vertical="center" wrapText="1"/>
    </xf>
    <xf numFmtId="14" fontId="71" fillId="0" borderId="75" xfId="0" applyNumberFormat="1" applyFont="1" applyBorder="1" applyAlignment="1">
      <alignment horizontal="center" vertical="center" wrapText="1"/>
    </xf>
    <xf numFmtId="0" fontId="40" fillId="17" borderId="106" xfId="0" applyFont="1" applyFill="1" applyBorder="1" applyAlignment="1">
      <alignment vertical="center"/>
    </xf>
    <xf numFmtId="164" fontId="41" fillId="17" borderId="105" xfId="0" applyNumberFormat="1" applyFont="1" applyFill="1" applyBorder="1" applyAlignment="1">
      <alignment horizontal="center" vertical="center" wrapText="1"/>
    </xf>
    <xf numFmtId="164" fontId="40" fillId="17" borderId="107" xfId="0" applyNumberFormat="1" applyFont="1" applyFill="1" applyBorder="1" applyAlignment="1">
      <alignment horizontal="center" vertical="center" wrapText="1"/>
    </xf>
    <xf numFmtId="164" fontId="40" fillId="17" borderId="105" xfId="0" applyNumberFormat="1" applyFont="1" applyFill="1" applyBorder="1" applyAlignment="1">
      <alignment horizontal="center" vertical="center" wrapText="1"/>
    </xf>
    <xf numFmtId="0" fontId="40" fillId="17" borderId="65" xfId="0" applyFont="1" applyFill="1" applyBorder="1" applyAlignment="1">
      <alignment vertical="center"/>
    </xf>
    <xf numFmtId="164" fontId="13" fillId="17" borderId="107" xfId="0" applyNumberFormat="1" applyFont="1" applyFill="1" applyBorder="1" applyAlignment="1">
      <alignment horizontal="right" vertical="center" wrapText="1"/>
    </xf>
    <xf numFmtId="0" fontId="13" fillId="18" borderId="106" xfId="0" applyFont="1" applyFill="1" applyBorder="1" applyAlignment="1">
      <alignment vertical="center"/>
    </xf>
    <xf numFmtId="164" fontId="41" fillId="18" borderId="105" xfId="0" applyNumberFormat="1" applyFont="1" applyFill="1" applyBorder="1" applyAlignment="1">
      <alignment horizontal="right" vertical="center" wrapText="1"/>
    </xf>
    <xf numFmtId="164" fontId="13" fillId="18" borderId="107" xfId="0" applyNumberFormat="1" applyFont="1" applyFill="1" applyBorder="1" applyAlignment="1">
      <alignment horizontal="right" vertical="center" wrapText="1"/>
    </xf>
    <xf numFmtId="164" fontId="40" fillId="18" borderId="105" xfId="0" applyNumberFormat="1" applyFont="1" applyFill="1" applyBorder="1" applyAlignment="1">
      <alignment horizontal="right" vertical="center" wrapText="1"/>
    </xf>
    <xf numFmtId="164" fontId="40" fillId="18" borderId="65" xfId="0" applyNumberFormat="1" applyFont="1" applyFill="1" applyBorder="1" applyAlignment="1">
      <alignment horizontal="right" vertical="center" wrapText="1"/>
    </xf>
    <xf numFmtId="0" fontId="0" fillId="18" borderId="106" xfId="0" applyFill="1" applyBorder="1" applyAlignment="1">
      <alignment vertical="center"/>
    </xf>
    <xf numFmtId="164" fontId="41" fillId="18" borderId="105" xfId="0" applyNumberFormat="1" applyFont="1" applyFill="1" applyBorder="1" applyAlignment="1">
      <alignment horizontal="right" vertical="center"/>
    </xf>
    <xf numFmtId="164" fontId="34" fillId="18" borderId="107" xfId="0" applyNumberFormat="1" applyFont="1" applyFill="1" applyBorder="1" applyAlignment="1">
      <alignment horizontal="right" vertical="center"/>
    </xf>
    <xf numFmtId="164" fontId="40" fillId="18" borderId="105" xfId="0" applyNumberFormat="1" applyFont="1" applyFill="1" applyBorder="1" applyAlignment="1">
      <alignment horizontal="right" vertical="center"/>
    </xf>
    <xf numFmtId="164" fontId="0" fillId="18" borderId="107" xfId="0" applyNumberFormat="1" applyFill="1" applyBorder="1" applyAlignment="1">
      <alignment horizontal="right" vertical="center"/>
    </xf>
    <xf numFmtId="0" fontId="1" fillId="17" borderId="106" xfId="0" applyFont="1" applyFill="1" applyBorder="1" applyAlignment="1">
      <alignment vertical="center"/>
    </xf>
    <xf numFmtId="164" fontId="41" fillId="17" borderId="105" xfId="0" applyNumberFormat="1" applyFont="1" applyFill="1" applyBorder="1" applyAlignment="1">
      <alignment horizontal="right" vertical="center"/>
    </xf>
    <xf numFmtId="164" fontId="0" fillId="17" borderId="107" xfId="0" applyNumberFormat="1" applyFill="1" applyBorder="1" applyAlignment="1">
      <alignment horizontal="right" vertical="center"/>
    </xf>
    <xf numFmtId="164" fontId="40" fillId="17" borderId="105" xfId="0" applyNumberFormat="1" applyFont="1" applyFill="1" applyBorder="1" applyAlignment="1">
      <alignment horizontal="right" vertical="center"/>
    </xf>
    <xf numFmtId="164" fontId="40" fillId="18" borderId="65" xfId="0" applyNumberFormat="1" applyFont="1" applyFill="1" applyBorder="1" applyAlignment="1">
      <alignment vertical="center"/>
    </xf>
    <xf numFmtId="164" fontId="13" fillId="18" borderId="107" xfId="0" applyNumberFormat="1" applyFont="1" applyFill="1" applyBorder="1" applyAlignment="1">
      <alignment horizontal="right" vertical="center"/>
    </xf>
    <xf numFmtId="164" fontId="40" fillId="18" borderId="65" xfId="0" applyNumberFormat="1" applyFont="1" applyFill="1" applyBorder="1" applyAlignment="1">
      <alignment horizontal="right" vertical="center"/>
    </xf>
    <xf numFmtId="0" fontId="1" fillId="18" borderId="106" xfId="0" applyFont="1" applyFill="1" applyBorder="1" applyAlignment="1">
      <alignment vertical="center"/>
    </xf>
    <xf numFmtId="0" fontId="40" fillId="18" borderId="106" xfId="0" applyFont="1" applyFill="1" applyBorder="1" applyAlignment="1">
      <alignment vertical="center"/>
    </xf>
    <xf numFmtId="0" fontId="0" fillId="17" borderId="106" xfId="0" applyFill="1" applyBorder="1" applyAlignment="1">
      <alignment vertical="center"/>
    </xf>
    <xf numFmtId="0" fontId="0" fillId="17" borderId="109" xfId="0" applyFill="1" applyBorder="1" applyAlignment="1">
      <alignment vertical="center"/>
    </xf>
    <xf numFmtId="0" fontId="34" fillId="17" borderId="109" xfId="0" applyFont="1" applyFill="1" applyBorder="1" applyAlignment="1">
      <alignment vertical="center"/>
    </xf>
    <xf numFmtId="164" fontId="41" fillId="17" borderId="105" xfId="0" applyNumberFormat="1" applyFont="1" applyFill="1" applyBorder="1" applyAlignment="1">
      <alignment vertical="center"/>
    </xf>
    <xf numFmtId="164" fontId="40" fillId="17" borderId="105" xfId="0" applyNumberFormat="1" applyFont="1" applyFill="1" applyBorder="1" applyAlignment="1">
      <alignment vertical="center"/>
    </xf>
    <xf numFmtId="164" fontId="1" fillId="17" borderId="105" xfId="0" applyNumberFormat="1" applyFont="1" applyFill="1" applyBorder="1" applyAlignment="1">
      <alignment vertical="center"/>
    </xf>
    <xf numFmtId="164" fontId="42" fillId="18" borderId="105" xfId="0" applyNumberFormat="1" applyFont="1" applyFill="1" applyBorder="1" applyAlignment="1">
      <alignment vertical="center"/>
    </xf>
    <xf numFmtId="164" fontId="66" fillId="18" borderId="107" xfId="0" applyNumberFormat="1" applyFont="1" applyFill="1" applyBorder="1" applyAlignment="1">
      <alignment vertical="center"/>
    </xf>
    <xf numFmtId="164" fontId="56" fillId="18" borderId="105" xfId="0" applyNumberFormat="1" applyFont="1" applyFill="1" applyBorder="1" applyAlignment="1">
      <alignment vertical="center"/>
    </xf>
    <xf numFmtId="164" fontId="66" fillId="18" borderId="65" xfId="0" applyNumberFormat="1" applyFont="1" applyFill="1" applyBorder="1" applyAlignment="1">
      <alignment vertical="center"/>
    </xf>
    <xf numFmtId="164" fontId="38" fillId="18" borderId="65" xfId="0" applyNumberFormat="1" applyFont="1" applyFill="1" applyBorder="1" applyAlignment="1">
      <alignment vertical="center"/>
    </xf>
    <xf numFmtId="164" fontId="41" fillId="18" borderId="105" xfId="0" applyNumberFormat="1" applyFont="1" applyFill="1" applyBorder="1" applyAlignment="1">
      <alignment vertical="center"/>
    </xf>
    <xf numFmtId="164" fontId="13" fillId="18" borderId="107" xfId="0" applyNumberFormat="1" applyFont="1" applyFill="1" applyBorder="1" applyAlignment="1">
      <alignment vertical="center"/>
    </xf>
    <xf numFmtId="164" fontId="40" fillId="18" borderId="105" xfId="0" applyNumberFormat="1" applyFont="1" applyFill="1" applyBorder="1" applyAlignment="1">
      <alignment vertical="center"/>
    </xf>
    <xf numFmtId="164" fontId="42" fillId="14" borderId="105" xfId="0" applyNumberFormat="1" applyFont="1" applyFill="1" applyBorder="1" applyAlignment="1">
      <alignment vertical="center"/>
    </xf>
    <xf numFmtId="164" fontId="43" fillId="18" borderId="107" xfId="0" applyNumberFormat="1" applyFont="1" applyFill="1" applyBorder="1" applyAlignment="1">
      <alignment vertical="center"/>
    </xf>
    <xf numFmtId="164" fontId="56" fillId="14" borderId="105" xfId="0" applyNumberFormat="1" applyFont="1" applyFill="1" applyBorder="1" applyAlignment="1">
      <alignment vertical="center"/>
    </xf>
    <xf numFmtId="164" fontId="37" fillId="17" borderId="107" xfId="0" applyNumberFormat="1" applyFont="1" applyFill="1" applyBorder="1" applyAlignment="1">
      <alignment vertical="center"/>
    </xf>
    <xf numFmtId="0" fontId="0" fillId="18" borderId="109" xfId="0" applyFill="1" applyBorder="1" applyAlignment="1">
      <alignment vertical="center"/>
    </xf>
    <xf numFmtId="164" fontId="0" fillId="18" borderId="105" xfId="0" applyNumberFormat="1" applyFill="1" applyBorder="1" applyAlignment="1">
      <alignment vertical="center"/>
    </xf>
    <xf numFmtId="164" fontId="1" fillId="18" borderId="105" xfId="0" applyNumberFormat="1" applyFont="1" applyFill="1" applyBorder="1" applyAlignment="1">
      <alignment vertical="center"/>
    </xf>
    <xf numFmtId="164" fontId="40" fillId="17" borderId="75" xfId="0" applyNumberFormat="1" applyFont="1" applyFill="1" applyBorder="1" applyAlignment="1">
      <alignment vertical="center"/>
    </xf>
    <xf numFmtId="164" fontId="21" fillId="17" borderId="19" xfId="0" applyNumberFormat="1" applyFont="1" applyFill="1" applyBorder="1" applyAlignment="1">
      <alignment vertical="center"/>
    </xf>
    <xf numFmtId="0" fontId="34" fillId="5" borderId="106" xfId="0" applyFont="1" applyFill="1" applyBorder="1" applyAlignment="1">
      <alignment vertical="center"/>
    </xf>
    <xf numFmtId="0" fontId="34" fillId="5" borderId="109" xfId="0" applyFont="1" applyFill="1" applyBorder="1" applyAlignment="1">
      <alignment vertical="center"/>
    </xf>
    <xf numFmtId="0" fontId="0" fillId="5" borderId="109" xfId="0" applyFill="1" applyBorder="1" applyAlignment="1">
      <alignment vertical="center"/>
    </xf>
    <xf numFmtId="164" fontId="41" fillId="5" borderId="105" xfId="0" applyNumberFormat="1" applyFont="1" applyFill="1" applyBorder="1" applyAlignment="1">
      <alignment vertical="center"/>
    </xf>
    <xf numFmtId="164" fontId="40" fillId="5" borderId="105" xfId="0" applyNumberFormat="1" applyFont="1" applyFill="1" applyBorder="1" applyAlignment="1">
      <alignment vertical="center"/>
    </xf>
    <xf numFmtId="164" fontId="0" fillId="5" borderId="105" xfId="0" applyNumberFormat="1" applyFill="1" applyBorder="1" applyAlignment="1">
      <alignment vertical="center"/>
    </xf>
    <xf numFmtId="164" fontId="1" fillId="5" borderId="105" xfId="0" applyNumberFormat="1" applyFont="1" applyFill="1" applyBorder="1" applyAlignment="1">
      <alignment vertical="center"/>
    </xf>
    <xf numFmtId="0" fontId="0" fillId="10" borderId="106" xfId="0" applyFill="1" applyBorder="1" applyAlignment="1">
      <alignment vertical="center"/>
    </xf>
    <xf numFmtId="164" fontId="41" fillId="10" borderId="105" xfId="0" applyNumberFormat="1" applyFont="1" applyFill="1" applyBorder="1" applyAlignment="1">
      <alignment vertical="center"/>
    </xf>
    <xf numFmtId="164" fontId="34" fillId="10" borderId="107" xfId="0" applyNumberFormat="1" applyFont="1" applyFill="1" applyBorder="1" applyAlignment="1">
      <alignment vertical="center"/>
    </xf>
    <xf numFmtId="164" fontId="40" fillId="10" borderId="105" xfId="0" applyNumberFormat="1" applyFont="1" applyFill="1" applyBorder="1" applyAlignment="1">
      <alignment vertical="center"/>
    </xf>
    <xf numFmtId="164" fontId="40" fillId="10" borderId="105" xfId="0" applyNumberFormat="1" applyFont="1" applyFill="1" applyBorder="1" applyAlignment="1">
      <alignment horizontal="right" vertical="center" wrapText="1"/>
    </xf>
    <xf numFmtId="164" fontId="1" fillId="10" borderId="65" xfId="0" applyNumberFormat="1" applyFont="1" applyFill="1" applyBorder="1" applyAlignment="1">
      <alignment vertical="center"/>
    </xf>
    <xf numFmtId="164" fontId="13" fillId="10" borderId="107" xfId="0" applyNumberFormat="1" applyFont="1" applyFill="1" applyBorder="1" applyAlignment="1">
      <alignment vertical="center"/>
    </xf>
    <xf numFmtId="0" fontId="1" fillId="11" borderId="106" xfId="0" applyFont="1" applyFill="1" applyBorder="1" applyAlignment="1">
      <alignment vertical="center"/>
    </xf>
    <xf numFmtId="164" fontId="41" fillId="11" borderId="105" xfId="0" applyNumberFormat="1" applyFont="1" applyFill="1" applyBorder="1" applyAlignment="1">
      <alignment vertical="center"/>
    </xf>
    <xf numFmtId="164" fontId="13" fillId="11" borderId="107" xfId="0" applyNumberFormat="1" applyFont="1" applyFill="1" applyBorder="1" applyAlignment="1">
      <alignment vertical="center"/>
    </xf>
    <xf numFmtId="164" fontId="40" fillId="11" borderId="105" xfId="0" applyNumberFormat="1" applyFont="1" applyFill="1" applyBorder="1" applyAlignment="1">
      <alignment vertical="center"/>
    </xf>
    <xf numFmtId="164" fontId="40" fillId="11" borderId="107" xfId="0" applyNumberFormat="1" applyFont="1" applyFill="1" applyBorder="1" applyAlignment="1">
      <alignment vertical="center"/>
    </xf>
    <xf numFmtId="164" fontId="40" fillId="10" borderId="65" xfId="0" applyNumberFormat="1" applyFont="1" applyFill="1" applyBorder="1" applyAlignment="1">
      <alignment vertical="center"/>
    </xf>
    <xf numFmtId="0" fontId="40" fillId="11" borderId="106" xfId="0" applyFont="1" applyFill="1" applyBorder="1" applyAlignment="1">
      <alignment vertical="center"/>
    </xf>
    <xf numFmtId="164" fontId="40" fillId="11" borderId="105" xfId="0" applyNumberFormat="1" applyFont="1" applyFill="1" applyBorder="1" applyAlignment="1">
      <alignment horizontal="right" vertical="center" wrapText="1"/>
    </xf>
    <xf numFmtId="164" fontId="1" fillId="5" borderId="107" xfId="0" applyNumberFormat="1" applyFont="1" applyFill="1" applyBorder="1" applyAlignment="1">
      <alignment vertical="center"/>
    </xf>
    <xf numFmtId="164" fontId="1" fillId="11" borderId="107" xfId="0" applyNumberFormat="1" applyFont="1" applyFill="1" applyBorder="1" applyAlignment="1">
      <alignment vertical="center"/>
    </xf>
    <xf numFmtId="0" fontId="46" fillId="10" borderId="110" xfId="9" applyFill="1" applyBorder="1" applyAlignment="1">
      <alignment vertical="center"/>
    </xf>
    <xf numFmtId="0" fontId="46" fillId="10" borderId="111" xfId="9" applyFill="1" applyBorder="1" applyAlignment="1">
      <alignment vertical="center"/>
    </xf>
    <xf numFmtId="164" fontId="41" fillId="10" borderId="112" xfId="0" applyNumberFormat="1" applyFont="1" applyFill="1" applyBorder="1" applyAlignment="1">
      <alignment vertical="center"/>
    </xf>
    <xf numFmtId="164" fontId="40" fillId="10" borderId="113" xfId="0" applyNumberFormat="1" applyFont="1" applyFill="1" applyBorder="1" applyAlignment="1">
      <alignment vertical="center"/>
    </xf>
    <xf numFmtId="164" fontId="40" fillId="10" borderId="114" xfId="0" applyNumberFormat="1" applyFont="1" applyFill="1" applyBorder="1" applyAlignment="1">
      <alignment horizontal="right" vertical="center" wrapText="1"/>
    </xf>
    <xf numFmtId="173" fontId="13" fillId="10" borderId="115" xfId="10" applyNumberFormat="1" applyFont="1" applyFill="1" applyBorder="1"/>
    <xf numFmtId="164" fontId="1" fillId="10" borderId="116" xfId="0" applyNumberFormat="1" applyFont="1" applyFill="1" applyBorder="1" applyAlignment="1">
      <alignment vertical="center"/>
    </xf>
    <xf numFmtId="164" fontId="13" fillId="10" borderId="116" xfId="0" applyNumberFormat="1" applyFont="1" applyFill="1" applyBorder="1" applyAlignment="1">
      <alignment vertical="center"/>
    </xf>
    <xf numFmtId="164" fontId="40" fillId="10" borderId="116" xfId="0" applyNumberFormat="1" applyFont="1" applyFill="1" applyBorder="1" applyAlignment="1">
      <alignment vertical="center"/>
    </xf>
    <xf numFmtId="0" fontId="46" fillId="10" borderId="117" xfId="9" applyFill="1" applyBorder="1" applyAlignment="1">
      <alignment vertical="center"/>
    </xf>
    <xf numFmtId="0" fontId="46" fillId="10" borderId="118" xfId="9" applyFill="1" applyBorder="1" applyAlignment="1">
      <alignment vertical="center"/>
    </xf>
    <xf numFmtId="164" fontId="41" fillId="10" borderId="119" xfId="0" applyNumberFormat="1" applyFont="1" applyFill="1" applyBorder="1" applyAlignment="1">
      <alignment vertical="center"/>
    </xf>
    <xf numFmtId="164" fontId="13" fillId="10" borderId="120" xfId="0" applyNumberFormat="1" applyFont="1" applyFill="1" applyBorder="1" applyAlignment="1">
      <alignment vertical="center"/>
    </xf>
    <xf numFmtId="164" fontId="40" fillId="10" borderId="119" xfId="0" applyNumberFormat="1" applyFont="1" applyFill="1" applyBorder="1" applyAlignment="1">
      <alignment vertical="center"/>
    </xf>
    <xf numFmtId="173" fontId="13" fillId="10" borderId="121" xfId="10" applyNumberFormat="1" applyFont="1" applyFill="1" applyBorder="1"/>
    <xf numFmtId="0" fontId="46" fillId="10" borderId="122" xfId="9" applyFill="1" applyBorder="1" applyAlignment="1">
      <alignment vertical="center"/>
    </xf>
    <xf numFmtId="0" fontId="46" fillId="10" borderId="123" xfId="9" applyFill="1" applyBorder="1" applyAlignment="1">
      <alignment vertical="center"/>
    </xf>
    <xf numFmtId="164" fontId="41" fillId="10" borderId="124" xfId="0" applyNumberFormat="1" applyFont="1" applyFill="1" applyBorder="1" applyAlignment="1">
      <alignment vertical="center"/>
    </xf>
    <xf numFmtId="164" fontId="40" fillId="10" borderId="124" xfId="0" applyNumberFormat="1" applyFont="1" applyFill="1" applyBorder="1" applyAlignment="1">
      <alignment vertical="center"/>
    </xf>
    <xf numFmtId="173" fontId="13" fillId="10" borderId="125" xfId="10" applyNumberFormat="1" applyFont="1" applyFill="1" applyBorder="1"/>
    <xf numFmtId="0" fontId="1" fillId="11" borderId="116" xfId="0" applyFont="1" applyFill="1" applyBorder="1" applyAlignment="1">
      <alignment vertical="center"/>
    </xf>
    <xf numFmtId="0" fontId="1" fillId="11" borderId="126" xfId="0" applyFont="1" applyFill="1" applyBorder="1" applyAlignment="1">
      <alignment vertical="center"/>
    </xf>
    <xf numFmtId="164" fontId="41" fillId="11" borderId="114" xfId="0" applyNumberFormat="1" applyFont="1" applyFill="1" applyBorder="1" applyAlignment="1">
      <alignment vertical="center"/>
    </xf>
    <xf numFmtId="164" fontId="13" fillId="11" borderId="120" xfId="0" applyNumberFormat="1" applyFont="1" applyFill="1" applyBorder="1" applyAlignment="1">
      <alignment vertical="center"/>
    </xf>
    <xf numFmtId="164" fontId="40" fillId="11" borderId="114" xfId="0" applyNumberFormat="1" applyFont="1" applyFill="1" applyBorder="1" applyAlignment="1">
      <alignment vertical="center"/>
    </xf>
    <xf numFmtId="164" fontId="1" fillId="11" borderId="116" xfId="0" applyNumberFormat="1" applyFont="1" applyFill="1" applyBorder="1" applyAlignment="1">
      <alignment vertical="center"/>
    </xf>
    <xf numFmtId="164" fontId="40" fillId="11" borderId="116" xfId="0" applyNumberFormat="1" applyFont="1" applyFill="1" applyBorder="1" applyAlignment="1">
      <alignment vertical="center"/>
    </xf>
    <xf numFmtId="164" fontId="13" fillId="11" borderId="116" xfId="0" applyNumberFormat="1" applyFont="1" applyFill="1" applyBorder="1" applyAlignment="1">
      <alignment vertical="center"/>
    </xf>
    <xf numFmtId="0" fontId="46" fillId="10" borderId="116" xfId="9" applyFill="1" applyBorder="1" applyAlignment="1">
      <alignment vertical="center"/>
    </xf>
    <xf numFmtId="0" fontId="46" fillId="10" borderId="126" xfId="9" applyFill="1" applyBorder="1" applyAlignment="1">
      <alignment vertical="center"/>
    </xf>
    <xf numFmtId="164" fontId="41" fillId="10" borderId="114" xfId="0" applyNumberFormat="1" applyFont="1" applyFill="1" applyBorder="1" applyAlignment="1">
      <alignment vertical="center"/>
    </xf>
    <xf numFmtId="164" fontId="40" fillId="10" borderId="114" xfId="0" applyNumberFormat="1" applyFont="1" applyFill="1" applyBorder="1" applyAlignment="1">
      <alignment vertical="center"/>
    </xf>
    <xf numFmtId="173" fontId="13" fillId="10" borderId="116" xfId="10" applyNumberFormat="1" applyFont="1" applyFill="1" applyBorder="1"/>
    <xf numFmtId="173" fontId="72" fillId="10" borderId="116" xfId="10" applyNumberFormat="1" applyFont="1" applyFill="1" applyBorder="1"/>
    <xf numFmtId="0" fontId="0" fillId="10" borderId="116" xfId="0" applyFill="1" applyBorder="1" applyAlignment="1">
      <alignment vertical="center"/>
    </xf>
    <xf numFmtId="0" fontId="0" fillId="10" borderId="126" xfId="0" applyFill="1" applyBorder="1" applyAlignment="1">
      <alignment vertical="center"/>
    </xf>
    <xf numFmtId="164" fontId="0" fillId="10" borderId="116" xfId="0" applyNumberFormat="1" applyFill="1" applyBorder="1" applyAlignment="1">
      <alignment vertical="center"/>
    </xf>
    <xf numFmtId="164" fontId="0" fillId="11" borderId="120" xfId="0" applyNumberFormat="1" applyFill="1" applyBorder="1" applyAlignment="1">
      <alignment vertical="center"/>
    </xf>
    <xf numFmtId="164" fontId="0" fillId="11" borderId="116" xfId="0" applyNumberFormat="1" applyFill="1" applyBorder="1" applyAlignment="1">
      <alignment vertical="center"/>
    </xf>
    <xf numFmtId="164" fontId="0" fillId="10" borderId="120" xfId="0" applyNumberFormat="1" applyFill="1" applyBorder="1" applyAlignment="1">
      <alignment vertical="center"/>
    </xf>
    <xf numFmtId="164" fontId="1" fillId="11" borderId="120" xfId="0" applyNumberFormat="1" applyFont="1" applyFill="1" applyBorder="1" applyAlignment="1">
      <alignment vertical="center"/>
    </xf>
    <xf numFmtId="164" fontId="34" fillId="10" borderId="120" xfId="0" applyNumberFormat="1" applyFont="1" applyFill="1" applyBorder="1" applyAlignment="1">
      <alignment vertical="center"/>
    </xf>
    <xf numFmtId="164" fontId="34" fillId="10" borderId="116" xfId="0" applyNumberFormat="1" applyFont="1" applyFill="1" applyBorder="1" applyAlignment="1">
      <alignment vertical="center"/>
    </xf>
    <xf numFmtId="164" fontId="40" fillId="11" borderId="120" xfId="0" applyNumberFormat="1" applyFont="1" applyFill="1" applyBorder="1" applyAlignment="1">
      <alignment vertical="center"/>
    </xf>
    <xf numFmtId="164" fontId="34" fillId="11" borderId="116" xfId="0" applyNumberFormat="1" applyFont="1" applyFill="1" applyBorder="1" applyAlignment="1">
      <alignment vertical="center"/>
    </xf>
    <xf numFmtId="0" fontId="0" fillId="11" borderId="116" xfId="0" quotePrefix="1" applyFill="1" applyBorder="1" applyAlignment="1">
      <alignment vertical="center"/>
    </xf>
    <xf numFmtId="0" fontId="0" fillId="11" borderId="116" xfId="0" applyFill="1" applyBorder="1" applyAlignment="1">
      <alignment vertical="center"/>
    </xf>
    <xf numFmtId="0" fontId="0" fillId="11" borderId="126" xfId="0" applyFill="1" applyBorder="1" applyAlignment="1">
      <alignment vertical="center"/>
    </xf>
    <xf numFmtId="164" fontId="35" fillId="11" borderId="116" xfId="0" applyNumberFormat="1" applyFont="1" applyFill="1" applyBorder="1" applyAlignment="1">
      <alignment vertical="center"/>
    </xf>
    <xf numFmtId="0" fontId="40" fillId="11" borderId="116" xfId="0" applyFont="1" applyFill="1" applyBorder="1" applyAlignment="1">
      <alignment vertical="center"/>
    </xf>
    <xf numFmtId="0" fontId="40" fillId="11" borderId="126" xfId="0" applyFont="1" applyFill="1" applyBorder="1" applyAlignment="1">
      <alignment vertical="center"/>
    </xf>
    <xf numFmtId="164" fontId="40" fillId="11" borderId="114" xfId="0" applyNumberFormat="1" applyFont="1" applyFill="1" applyBorder="1" applyAlignment="1">
      <alignment horizontal="right" vertical="center" wrapText="1"/>
    </xf>
    <xf numFmtId="0" fontId="13" fillId="10" borderId="116" xfId="0" quotePrefix="1" applyFont="1" applyFill="1" applyBorder="1" applyAlignment="1">
      <alignment vertical="center"/>
    </xf>
    <xf numFmtId="0" fontId="13" fillId="10" borderId="116" xfId="0" applyFont="1" applyFill="1" applyBorder="1" applyAlignment="1">
      <alignment vertical="center"/>
    </xf>
    <xf numFmtId="0" fontId="13" fillId="10" borderId="126" xfId="0" applyFont="1" applyFill="1" applyBorder="1" applyAlignment="1">
      <alignment vertical="center"/>
    </xf>
    <xf numFmtId="0" fontId="1" fillId="10" borderId="116" xfId="0" applyFont="1" applyFill="1" applyBorder="1" applyAlignment="1">
      <alignment vertical="center"/>
    </xf>
    <xf numFmtId="164" fontId="0" fillId="10" borderId="127" xfId="0" applyNumberFormat="1" applyFill="1" applyBorder="1" applyAlignment="1">
      <alignment vertical="center"/>
    </xf>
    <xf numFmtId="164" fontId="0" fillId="10" borderId="114" xfId="0" applyNumberFormat="1" applyFill="1" applyBorder="1" applyAlignment="1">
      <alignment vertical="center"/>
    </xf>
    <xf numFmtId="0" fontId="0" fillId="5" borderId="126" xfId="0" applyFill="1" applyBorder="1" applyAlignment="1">
      <alignment vertical="center"/>
    </xf>
    <xf numFmtId="0" fontId="0" fillId="5" borderId="128" xfId="0" applyFill="1" applyBorder="1" applyAlignment="1">
      <alignment vertical="center"/>
    </xf>
    <xf numFmtId="0" fontId="34" fillId="5" borderId="128" xfId="0" applyFont="1" applyFill="1" applyBorder="1" applyAlignment="1">
      <alignment vertical="center"/>
    </xf>
    <xf numFmtId="164" fontId="41" fillId="5" borderId="114" xfId="0" applyNumberFormat="1" applyFont="1" applyFill="1" applyBorder="1" applyAlignment="1">
      <alignment vertical="center"/>
    </xf>
    <xf numFmtId="164" fontId="1" fillId="5" borderId="127" xfId="0" applyNumberFormat="1" applyFont="1" applyFill="1" applyBorder="1" applyAlignment="1">
      <alignment vertical="center"/>
    </xf>
    <xf numFmtId="164" fontId="40" fillId="5" borderId="114" xfId="0" applyNumberFormat="1" applyFont="1" applyFill="1" applyBorder="1" applyAlignment="1">
      <alignment vertical="center"/>
    </xf>
    <xf numFmtId="164" fontId="1" fillId="5" borderId="114" xfId="0" applyNumberFormat="1" applyFont="1" applyFill="1" applyBorder="1" applyAlignment="1">
      <alignment vertical="center"/>
    </xf>
    <xf numFmtId="0" fontId="50" fillId="10" borderId="118" xfId="9" applyFont="1" applyFill="1" applyBorder="1" applyAlignment="1">
      <alignment vertical="center"/>
    </xf>
    <xf numFmtId="0" fontId="46" fillId="10" borderId="129" xfId="9" applyFill="1" applyBorder="1" applyAlignment="1">
      <alignment vertical="center"/>
    </xf>
    <xf numFmtId="0" fontId="50" fillId="10" borderId="129" xfId="9" applyFont="1" applyFill="1" applyBorder="1" applyAlignment="1">
      <alignment vertical="center"/>
    </xf>
    <xf numFmtId="0" fontId="51" fillId="10" borderId="126" xfId="0" applyFont="1" applyFill="1" applyBorder="1" applyAlignment="1">
      <alignment vertical="center"/>
    </xf>
    <xf numFmtId="164" fontId="0" fillId="5" borderId="127" xfId="0" applyNumberFormat="1" applyFill="1" applyBorder="1" applyAlignment="1">
      <alignment vertical="center"/>
    </xf>
    <xf numFmtId="164" fontId="0" fillId="5" borderId="114" xfId="0" applyNumberFormat="1" applyFill="1" applyBorder="1" applyAlignment="1">
      <alignment vertical="center"/>
    </xf>
    <xf numFmtId="0" fontId="0" fillId="0" borderId="116" xfId="0" applyBorder="1" applyAlignment="1">
      <alignment vertical="center"/>
    </xf>
    <xf numFmtId="0" fontId="0" fillId="0" borderId="126" xfId="0" applyBorder="1" applyAlignment="1">
      <alignment vertical="center"/>
    </xf>
    <xf numFmtId="164" fontId="41" fillId="0" borderId="114" xfId="0" applyNumberFormat="1" applyFont="1" applyBorder="1" applyAlignment="1">
      <alignment vertical="center"/>
    </xf>
    <xf numFmtId="164" fontId="0" fillId="0" borderId="120" xfId="0" applyNumberFormat="1" applyBorder="1" applyAlignment="1">
      <alignment vertical="center"/>
    </xf>
    <xf numFmtId="164" fontId="40" fillId="0" borderId="114" xfId="0" applyNumberFormat="1" applyFont="1" applyBorder="1" applyAlignment="1">
      <alignment vertical="center"/>
    </xf>
    <xf numFmtId="164" fontId="0" fillId="0" borderId="116" xfId="0" applyNumberFormat="1" applyBorder="1" applyAlignment="1">
      <alignment vertical="center"/>
    </xf>
    <xf numFmtId="164" fontId="1" fillId="0" borderId="116" xfId="0" applyNumberFormat="1" applyFont="1" applyBorder="1" applyAlignment="1">
      <alignment vertical="center"/>
    </xf>
    <xf numFmtId="164" fontId="36" fillId="5" borderId="114" xfId="0" applyNumberFormat="1" applyFont="1" applyFill="1" applyBorder="1" applyAlignment="1">
      <alignment vertical="center"/>
    </xf>
    <xf numFmtId="164" fontId="37" fillId="5" borderId="127" xfId="0" applyNumberFormat="1" applyFont="1" applyFill="1" applyBorder="1" applyAlignment="1">
      <alignment vertical="center"/>
    </xf>
    <xf numFmtId="164" fontId="20" fillId="5" borderId="114" xfId="0" applyNumberFormat="1" applyFont="1" applyFill="1" applyBorder="1" applyAlignment="1">
      <alignment vertical="center"/>
    </xf>
    <xf numFmtId="164" fontId="37" fillId="5" borderId="114" xfId="0" applyNumberFormat="1" applyFont="1" applyFill="1" applyBorder="1" applyAlignment="1">
      <alignment vertical="center"/>
    </xf>
    <xf numFmtId="0" fontId="0" fillId="18" borderId="126" xfId="0" applyFill="1" applyBorder="1" applyAlignment="1">
      <alignment vertical="center"/>
    </xf>
    <xf numFmtId="0" fontId="0" fillId="18" borderId="128" xfId="0" applyFill="1" applyBorder="1" applyAlignment="1">
      <alignment vertical="center"/>
    </xf>
    <xf numFmtId="0" fontId="34" fillId="18" borderId="128" xfId="0" applyFont="1" applyFill="1" applyBorder="1" applyAlignment="1">
      <alignment vertical="center"/>
    </xf>
    <xf numFmtId="164" fontId="36" fillId="18" borderId="114" xfId="0" applyNumberFormat="1" applyFont="1" applyFill="1" applyBorder="1" applyAlignment="1">
      <alignment vertical="center"/>
    </xf>
    <xf numFmtId="164" fontId="37" fillId="18" borderId="127" xfId="0" applyNumberFormat="1" applyFont="1" applyFill="1" applyBorder="1" applyAlignment="1">
      <alignment vertical="center"/>
    </xf>
    <xf numFmtId="164" fontId="40" fillId="18" borderId="114" xfId="0" applyNumberFormat="1" applyFont="1" applyFill="1" applyBorder="1" applyAlignment="1">
      <alignment vertical="center"/>
    </xf>
    <xf numFmtId="164" fontId="1" fillId="18" borderId="114" xfId="0" applyNumberFormat="1" applyFont="1" applyFill="1" applyBorder="1" applyAlignment="1">
      <alignment vertical="center"/>
    </xf>
    <xf numFmtId="164" fontId="20" fillId="18" borderId="114" xfId="0" applyNumberFormat="1" applyFont="1" applyFill="1" applyBorder="1" applyAlignment="1">
      <alignment vertical="center"/>
    </xf>
    <xf numFmtId="164" fontId="37" fillId="18" borderId="114" xfId="0" applyNumberFormat="1" applyFont="1" applyFill="1" applyBorder="1" applyAlignment="1">
      <alignment vertical="center"/>
    </xf>
    <xf numFmtId="40" fontId="0" fillId="12" borderId="126" xfId="0" applyNumberFormat="1" applyFill="1" applyBorder="1" applyAlignment="1">
      <alignment vertical="center"/>
    </xf>
    <xf numFmtId="40" fontId="0" fillId="12" borderId="128" xfId="0" applyNumberFormat="1" applyFill="1" applyBorder="1" applyAlignment="1">
      <alignment vertical="center"/>
    </xf>
    <xf numFmtId="40" fontId="1" fillId="12" borderId="128" xfId="0" applyNumberFormat="1" applyFont="1" applyFill="1" applyBorder="1" applyAlignment="1">
      <alignment vertical="center"/>
    </xf>
    <xf numFmtId="40" fontId="41" fillId="12" borderId="114" xfId="0" applyNumberFormat="1" applyFont="1" applyFill="1" applyBorder="1" applyAlignment="1">
      <alignment vertical="center"/>
    </xf>
    <xf numFmtId="40" fontId="40" fillId="12" borderId="120" xfId="0" applyNumberFormat="1" applyFont="1" applyFill="1" applyBorder="1" applyAlignment="1">
      <alignment vertical="center"/>
    </xf>
    <xf numFmtId="40" fontId="40" fillId="12" borderId="114" xfId="0" applyNumberFormat="1" applyFont="1" applyFill="1" applyBorder="1" applyAlignment="1">
      <alignment vertical="center"/>
    </xf>
    <xf numFmtId="40" fontId="1" fillId="12" borderId="116" xfId="0" applyNumberFormat="1" applyFont="1" applyFill="1" applyBorder="1" applyAlignment="1">
      <alignment vertical="center"/>
    </xf>
    <xf numFmtId="40" fontId="40" fillId="12" borderId="116" xfId="0" applyNumberFormat="1" applyFont="1" applyFill="1" applyBorder="1" applyAlignment="1">
      <alignment vertical="center"/>
    </xf>
    <xf numFmtId="0" fontId="37" fillId="0" borderId="0" xfId="0" applyFont="1" applyAlignment="1">
      <alignment vertical="center"/>
    </xf>
    <xf numFmtId="164" fontId="57" fillId="6" borderId="0" xfId="0" applyNumberFormat="1" applyFont="1" applyFill="1"/>
    <xf numFmtId="164" fontId="13" fillId="7" borderId="0" xfId="0" applyNumberFormat="1" applyFont="1" applyFill="1"/>
    <xf numFmtId="164" fontId="20" fillId="0" borderId="0" xfId="0" applyNumberFormat="1" applyFont="1"/>
    <xf numFmtId="164" fontId="40" fillId="5" borderId="0" xfId="0" applyNumberFormat="1" applyFont="1" applyFill="1"/>
    <xf numFmtId="164" fontId="40" fillId="7" borderId="0" xfId="0" applyNumberFormat="1" applyFont="1" applyFill="1"/>
    <xf numFmtId="164" fontId="3" fillId="5" borderId="0" xfId="0" applyNumberFormat="1" applyFont="1" applyFill="1"/>
    <xf numFmtId="164" fontId="3" fillId="2" borderId="0" xfId="0" applyNumberFormat="1" applyFont="1" applyFill="1"/>
    <xf numFmtId="164" fontId="3" fillId="12" borderId="0" xfId="0" applyNumberFormat="1" applyFont="1" applyFill="1"/>
    <xf numFmtId="164" fontId="13" fillId="7" borderId="0" xfId="1" applyNumberFormat="1" applyFont="1" applyFill="1"/>
    <xf numFmtId="164" fontId="40" fillId="2" borderId="0" xfId="0" applyNumberFormat="1" applyFont="1" applyFill="1"/>
    <xf numFmtId="164" fontId="13" fillId="4" borderId="0" xfId="0" applyNumberFormat="1" applyFont="1" applyFill="1"/>
    <xf numFmtId="164" fontId="13" fillId="3" borderId="0" xfId="0" applyNumberFormat="1" applyFont="1" applyFill="1"/>
    <xf numFmtId="164" fontId="13" fillId="3" borderId="0" xfId="1" applyNumberFormat="1" applyFont="1" applyFill="1"/>
    <xf numFmtId="0" fontId="1" fillId="0" borderId="53" xfId="0" applyFont="1" applyBorder="1" applyAlignment="1">
      <alignment horizontal="left" indent="1"/>
    </xf>
    <xf numFmtId="0" fontId="0" fillId="0" borderId="133" xfId="0" applyBorder="1" applyAlignment="1">
      <alignment horizontal="left" wrapText="1" indent="1"/>
    </xf>
    <xf numFmtId="0" fontId="0" fillId="0" borderId="133" xfId="0" applyBorder="1" applyAlignment="1">
      <alignment horizontal="left" indent="1"/>
    </xf>
    <xf numFmtId="44" fontId="30" fillId="0" borderId="133" xfId="0" applyNumberFormat="1" applyFont="1" applyBorder="1" applyAlignment="1">
      <alignment horizontal="left" indent="1"/>
    </xf>
    <xf numFmtId="0" fontId="0" fillId="0" borderId="131" xfId="0" applyBorder="1" applyAlignment="1">
      <alignment horizontal="left" indent="1"/>
    </xf>
    <xf numFmtId="164" fontId="0" fillId="0" borderId="133" xfId="0" applyNumberFormat="1" applyBorder="1"/>
    <xf numFmtId="164" fontId="1" fillId="0" borderId="134" xfId="0" applyNumberFormat="1" applyFont="1" applyBorder="1" applyProtection="1">
      <protection locked="0"/>
    </xf>
    <xf numFmtId="164" fontId="0" fillId="0" borderId="19" xfId="0" applyNumberFormat="1" applyBorder="1"/>
    <xf numFmtId="164" fontId="1" fillId="0" borderId="80" xfId="0" applyNumberFormat="1" applyFont="1" applyBorder="1" applyProtection="1">
      <protection locked="0"/>
    </xf>
    <xf numFmtId="0" fontId="65" fillId="0" borderId="47" xfId="0" applyFont="1" applyBorder="1" applyAlignment="1">
      <alignment vertical="top" wrapText="1"/>
    </xf>
    <xf numFmtId="0" fontId="65" fillId="0" borderId="137" xfId="0" applyFont="1" applyBorder="1" applyAlignment="1">
      <alignment vertical="top" wrapText="1"/>
    </xf>
    <xf numFmtId="0" fontId="65" fillId="0" borderId="132" xfId="0" applyFont="1" applyBorder="1" applyAlignment="1">
      <alignment vertical="top" wrapText="1"/>
    </xf>
    <xf numFmtId="0" fontId="65" fillId="0" borderId="20" xfId="0" applyFont="1" applyBorder="1" applyAlignment="1">
      <alignment vertical="top" wrapText="1"/>
    </xf>
    <xf numFmtId="164" fontId="0" fillId="0" borderId="133" xfId="0" applyNumberFormat="1" applyBorder="1" applyProtection="1">
      <protection locked="0"/>
    </xf>
    <xf numFmtId="8" fontId="65" fillId="0" borderId="48" xfId="0" applyNumberFormat="1" applyFont="1" applyBorder="1" applyAlignment="1">
      <alignment vertical="top"/>
    </xf>
    <xf numFmtId="8" fontId="65" fillId="0" borderId="136" xfId="0" applyNumberFormat="1" applyFont="1" applyBorder="1" applyAlignment="1">
      <alignment vertical="top"/>
    </xf>
    <xf numFmtId="8" fontId="65" fillId="0" borderId="133" xfId="0" applyNumberFormat="1" applyFont="1" applyBorder="1" applyAlignment="1">
      <alignment vertical="top"/>
    </xf>
    <xf numFmtId="0" fontId="65" fillId="0" borderId="133" xfId="0" applyFont="1" applyBorder="1" applyAlignment="1">
      <alignment vertical="top"/>
    </xf>
    <xf numFmtId="0" fontId="65" fillId="0" borderId="4" xfId="0" applyFont="1" applyBorder="1" applyAlignment="1">
      <alignment vertical="top"/>
    </xf>
    <xf numFmtId="0" fontId="65" fillId="0" borderId="14" xfId="0" applyFont="1" applyBorder="1" applyAlignment="1">
      <alignment vertical="top"/>
    </xf>
    <xf numFmtId="8" fontId="65" fillId="0" borderId="14" xfId="0" applyNumberFormat="1" applyFont="1" applyBorder="1" applyAlignment="1">
      <alignment vertical="top"/>
    </xf>
    <xf numFmtId="164" fontId="65" fillId="0" borderId="14" xfId="0" applyNumberFormat="1" applyFont="1" applyBorder="1" applyAlignment="1">
      <alignment vertical="top"/>
    </xf>
    <xf numFmtId="0" fontId="65" fillId="0" borderId="48" xfId="0" applyFont="1" applyBorder="1" applyAlignment="1">
      <alignment vertical="top"/>
    </xf>
    <xf numFmtId="0" fontId="65" fillId="0" borderId="136" xfId="0" applyFont="1" applyBorder="1" applyAlignment="1">
      <alignment vertical="top"/>
    </xf>
    <xf numFmtId="8" fontId="75" fillId="0" borderId="134" xfId="0" applyNumberFormat="1" applyFont="1" applyBorder="1" applyAlignment="1">
      <alignment vertical="top"/>
    </xf>
    <xf numFmtId="0" fontId="0" fillId="0" borderId="137" xfId="0" applyBorder="1" applyAlignment="1">
      <alignment wrapText="1"/>
    </xf>
    <xf numFmtId="0" fontId="0" fillId="0" borderId="132" xfId="0" applyBorder="1" applyAlignment="1">
      <alignment wrapText="1"/>
    </xf>
    <xf numFmtId="164" fontId="0" fillId="0" borderId="136" xfId="0" applyNumberFormat="1" applyBorder="1"/>
    <xf numFmtId="0" fontId="0" fillId="0" borderId="132" xfId="0" applyBorder="1" applyAlignment="1" applyProtection="1">
      <alignment wrapText="1"/>
      <protection locked="0"/>
    </xf>
    <xf numFmtId="0" fontId="76" fillId="0" borderId="0" xfId="0" applyFont="1"/>
    <xf numFmtId="164" fontId="0" fillId="5" borderId="43" xfId="0" applyNumberFormat="1" applyFill="1" applyBorder="1" applyAlignment="1">
      <alignment horizontal="right" indent="1"/>
    </xf>
    <xf numFmtId="0" fontId="65" fillId="19" borderId="0" xfId="0" applyFont="1" applyFill="1" applyAlignment="1">
      <alignment vertical="top" wrapText="1"/>
    </xf>
    <xf numFmtId="8" fontId="65" fillId="19" borderId="101" xfId="0" applyNumberFormat="1" applyFont="1" applyFill="1" applyBorder="1"/>
    <xf numFmtId="8" fontId="65" fillId="19" borderId="0" xfId="0" applyNumberFormat="1" applyFont="1" applyFill="1"/>
    <xf numFmtId="8" fontId="77" fillId="0" borderId="0" xfId="0" applyNumberFormat="1" applyFont="1"/>
    <xf numFmtId="0" fontId="77" fillId="0" borderId="0" xfId="0" applyFont="1"/>
    <xf numFmtId="0" fontId="77" fillId="20" borderId="0" xfId="0" applyFont="1" applyFill="1" applyAlignment="1">
      <alignment wrapText="1"/>
    </xf>
    <xf numFmtId="0" fontId="0" fillId="0" borderId="138" xfId="0" applyBorder="1" applyAlignment="1">
      <alignment horizontal="center" wrapText="1"/>
    </xf>
    <xf numFmtId="164" fontId="0" fillId="0" borderId="4" xfId="0" applyNumberFormat="1" applyBorder="1"/>
    <xf numFmtId="164" fontId="26" fillId="4" borderId="135" xfId="0" applyNumberFormat="1" applyFont="1" applyFill="1" applyBorder="1" applyAlignment="1">
      <alignment horizontal="right" vertical="top"/>
    </xf>
    <xf numFmtId="164" fontId="26" fillId="0" borderId="4" xfId="2" applyNumberFormat="1" applyFont="1" applyFill="1" applyBorder="1" applyAlignment="1" applyProtection="1">
      <alignment horizontal="right" vertical="top"/>
    </xf>
    <xf numFmtId="164" fontId="6" fillId="0" borderId="4" xfId="2" applyNumberFormat="1" applyFont="1" applyFill="1" applyBorder="1" applyAlignment="1" applyProtection="1">
      <alignment horizontal="right" vertical="top"/>
    </xf>
    <xf numFmtId="164" fontId="0" fillId="0" borderId="74" xfId="0" applyNumberFormat="1" applyBorder="1"/>
    <xf numFmtId="164" fontId="6" fillId="6" borderId="130" xfId="0" applyNumberFormat="1" applyFont="1" applyFill="1" applyBorder="1" applyAlignment="1">
      <alignment horizontal="right" vertical="top"/>
    </xf>
    <xf numFmtId="0" fontId="21" fillId="0" borderId="139" xfId="0" applyFont="1" applyBorder="1" applyAlignment="1">
      <alignment horizontal="center" vertical="top" wrapText="1"/>
    </xf>
    <xf numFmtId="0" fontId="0" fillId="0" borderId="133" xfId="0" applyBorder="1" applyAlignment="1">
      <alignment horizontal="center" wrapText="1"/>
    </xf>
    <xf numFmtId="0" fontId="0" fillId="0" borderId="6" xfId="0" applyBorder="1" applyAlignment="1">
      <alignment horizontal="center" wrapText="1"/>
    </xf>
    <xf numFmtId="164" fontId="25" fillId="0" borderId="14" xfId="1" applyNumberFormat="1" applyFont="1" applyFill="1" applyBorder="1" applyAlignment="1" applyProtection="1">
      <alignment horizontal="right" vertical="top"/>
    </xf>
    <xf numFmtId="164" fontId="8" fillId="0" borderId="14" xfId="1" applyNumberFormat="1" applyFill="1" applyBorder="1" applyAlignment="1" applyProtection="1">
      <alignment horizontal="right" vertical="top"/>
    </xf>
    <xf numFmtId="164" fontId="27" fillId="4" borderId="10" xfId="0" applyNumberFormat="1" applyFont="1" applyFill="1" applyBorder="1" applyAlignment="1">
      <alignment horizontal="right" vertical="top"/>
    </xf>
    <xf numFmtId="164" fontId="28" fillId="0" borderId="14" xfId="2" applyNumberFormat="1" applyFont="1" applyFill="1" applyBorder="1" applyAlignment="1" applyProtection="1">
      <alignment horizontal="right" vertical="top"/>
    </xf>
    <xf numFmtId="164" fontId="29" fillId="0" borderId="14" xfId="2" applyNumberFormat="1" applyFont="1" applyFill="1" applyBorder="1" applyAlignment="1" applyProtection="1">
      <alignment horizontal="right" vertical="top"/>
    </xf>
    <xf numFmtId="164" fontId="25" fillId="0" borderId="14" xfId="1" applyNumberFormat="1" applyFont="1" applyFill="1" applyBorder="1" applyAlignment="1" applyProtection="1">
      <alignment horizontal="right" vertical="top" wrapText="1"/>
    </xf>
    <xf numFmtId="164" fontId="25" fillId="0" borderId="14" xfId="1" applyNumberFormat="1" applyFont="1" applyBorder="1" applyAlignment="1">
      <alignment horizontal="right" vertical="top"/>
    </xf>
    <xf numFmtId="164" fontId="8" fillId="0" borderId="14" xfId="1" applyNumberFormat="1" applyFill="1" applyBorder="1" applyAlignment="1">
      <alignment horizontal="right" vertical="top"/>
    </xf>
    <xf numFmtId="164" fontId="25" fillId="0" borderId="14" xfId="1" applyNumberFormat="1" applyFont="1" applyFill="1" applyBorder="1" applyAlignment="1">
      <alignment horizontal="right" vertical="top"/>
    </xf>
    <xf numFmtId="164" fontId="25" fillId="0" borderId="12" xfId="1" applyNumberFormat="1" applyFont="1" applyBorder="1" applyAlignment="1">
      <alignment horizontal="right" vertical="top"/>
    </xf>
    <xf numFmtId="164" fontId="6" fillId="6" borderId="77" xfId="0" applyNumberFormat="1" applyFont="1" applyFill="1" applyBorder="1" applyAlignment="1">
      <alignment horizontal="right" vertical="top"/>
    </xf>
    <xf numFmtId="164" fontId="0" fillId="0" borderId="4" xfId="0" applyNumberFormat="1" applyBorder="1" applyProtection="1">
      <protection locked="0"/>
    </xf>
    <xf numFmtId="164" fontId="6" fillId="0" borderId="4" xfId="2" applyNumberFormat="1" applyFont="1" applyFill="1" applyBorder="1" applyAlignment="1" applyProtection="1">
      <alignment horizontal="right" vertical="top"/>
      <protection locked="0"/>
    </xf>
    <xf numFmtId="164" fontId="0" fillId="0" borderId="74" xfId="0" applyNumberFormat="1" applyBorder="1" applyProtection="1">
      <protection locked="0"/>
    </xf>
    <xf numFmtId="164" fontId="6" fillId="6" borderId="99" xfId="0" applyNumberFormat="1" applyFont="1" applyFill="1" applyBorder="1" applyAlignment="1">
      <alignment horizontal="right" vertical="top"/>
    </xf>
    <xf numFmtId="0" fontId="21" fillId="0" borderId="139" xfId="0" applyFont="1" applyBorder="1" applyAlignment="1">
      <alignment vertical="top" wrapText="1"/>
    </xf>
    <xf numFmtId="0" fontId="0" fillId="0" borderId="15" xfId="0" applyBorder="1" applyAlignment="1">
      <alignment wrapText="1"/>
    </xf>
    <xf numFmtId="0" fontId="6" fillId="0" borderId="15" xfId="2" applyFont="1" applyFill="1" applyBorder="1" applyAlignment="1" applyProtection="1">
      <alignment horizontal="left" vertical="top"/>
    </xf>
    <xf numFmtId="164" fontId="26" fillId="4" borderId="11" xfId="0" applyNumberFormat="1" applyFont="1" applyFill="1" applyBorder="1" applyAlignment="1">
      <alignment horizontal="right" vertical="top"/>
    </xf>
    <xf numFmtId="0" fontId="26" fillId="0" borderId="13" xfId="2" applyFont="1" applyFill="1" applyBorder="1" applyAlignment="1" applyProtection="1">
      <alignment vertical="top"/>
    </xf>
    <xf numFmtId="0" fontId="26" fillId="0" borderId="15" xfId="2" applyFont="1" applyFill="1" applyBorder="1" applyAlignment="1" applyProtection="1">
      <alignment vertical="top"/>
    </xf>
    <xf numFmtId="8" fontId="6" fillId="0" borderId="13" xfId="2" applyNumberFormat="1" applyFont="1" applyFill="1" applyBorder="1" applyAlignment="1" applyProtection="1">
      <alignment horizontal="right" vertical="top"/>
    </xf>
    <xf numFmtId="8" fontId="6" fillId="0" borderId="13" xfId="2" applyNumberFormat="1" applyFont="1" applyFill="1" applyBorder="1" applyAlignment="1" applyProtection="1">
      <alignment horizontal="right" vertical="top" wrapText="1"/>
    </xf>
    <xf numFmtId="0" fontId="6" fillId="0" borderId="15" xfId="2" applyFont="1" applyFill="1" applyBorder="1" applyAlignment="1" applyProtection="1">
      <alignment horizontal="left" vertical="top" wrapText="1"/>
    </xf>
    <xf numFmtId="8" fontId="6" fillId="0" borderId="13" xfId="0" applyNumberFormat="1" applyFont="1" applyBorder="1" applyAlignment="1">
      <alignment horizontal="right" vertical="top"/>
    </xf>
    <xf numFmtId="0" fontId="6" fillId="0" borderId="15" xfId="0" applyFont="1" applyBorder="1" applyAlignment="1">
      <alignment horizontal="left" vertical="top"/>
    </xf>
    <xf numFmtId="164" fontId="0" fillId="0" borderId="15" xfId="0" applyNumberFormat="1" applyBorder="1"/>
    <xf numFmtId="0" fontId="13" fillId="19" borderId="15" xfId="0" applyFont="1" applyFill="1" applyBorder="1" applyAlignment="1">
      <alignment wrapText="1"/>
    </xf>
    <xf numFmtId="164" fontId="6" fillId="0" borderId="15" xfId="2" applyNumberFormat="1" applyFont="1" applyFill="1" applyBorder="1" applyAlignment="1" applyProtection="1">
      <alignment horizontal="right" vertical="top"/>
    </xf>
    <xf numFmtId="164" fontId="45" fillId="0" borderId="26" xfId="0" applyNumberFormat="1" applyFont="1" applyBorder="1"/>
    <xf numFmtId="0" fontId="74" fillId="0" borderId="0" xfId="0" applyFont="1"/>
    <xf numFmtId="0" fontId="45" fillId="0" borderId="0" xfId="0" applyFont="1"/>
    <xf numFmtId="0" fontId="78" fillId="0" borderId="0" xfId="0" applyFont="1"/>
    <xf numFmtId="0" fontId="0" fillId="0" borderId="4" xfId="0" applyBorder="1" applyAlignment="1">
      <alignment horizontal="center" wrapText="1"/>
    </xf>
    <xf numFmtId="0" fontId="21" fillId="0" borderId="45" xfId="0" applyFont="1" applyBorder="1" applyAlignment="1">
      <alignment horizontal="center" vertical="top" wrapText="1"/>
    </xf>
    <xf numFmtId="164" fontId="8" fillId="0" borderId="14" xfId="1" applyNumberFormat="1" applyFill="1" applyBorder="1" applyAlignment="1" applyProtection="1">
      <alignment horizontal="right" vertical="top" wrapText="1"/>
    </xf>
    <xf numFmtId="164" fontId="8" fillId="0" borderId="14" xfId="1" applyNumberFormat="1" applyBorder="1" applyAlignment="1">
      <alignment horizontal="right" vertical="top"/>
    </xf>
    <xf numFmtId="164" fontId="8" fillId="0" borderId="12" xfId="1" applyNumberFormat="1" applyBorder="1" applyAlignment="1">
      <alignment horizontal="right" vertical="top"/>
    </xf>
    <xf numFmtId="164" fontId="27" fillId="4" borderId="98" xfId="0" applyNumberFormat="1" applyFont="1" applyFill="1" applyBorder="1" applyAlignment="1">
      <alignment horizontal="right" vertical="top"/>
    </xf>
    <xf numFmtId="164" fontId="6" fillId="6" borderId="98" xfId="0" applyNumberFormat="1" applyFont="1" applyFill="1" applyBorder="1" applyAlignment="1">
      <alignment horizontal="right" vertical="top"/>
    </xf>
    <xf numFmtId="0" fontId="0" fillId="0" borderId="54" xfId="0" applyBorder="1" applyAlignment="1">
      <alignment wrapText="1"/>
    </xf>
    <xf numFmtId="0" fontId="0" fillId="0" borderId="56" xfId="0" applyBorder="1" applyAlignment="1">
      <alignment wrapText="1"/>
    </xf>
    <xf numFmtId="164" fontId="27" fillId="4" borderId="9" xfId="0" applyNumberFormat="1" applyFont="1" applyFill="1" applyBorder="1" applyAlignment="1">
      <alignment horizontal="right" vertical="top"/>
    </xf>
    <xf numFmtId="164" fontId="6" fillId="0" borderId="13" xfId="2" applyNumberFormat="1" applyFont="1" applyFill="1" applyBorder="1" applyAlignment="1" applyProtection="1">
      <alignment horizontal="right" vertical="top" wrapText="1"/>
    </xf>
    <xf numFmtId="164" fontId="6" fillId="0" borderId="13" xfId="0" applyNumberFormat="1" applyFont="1" applyBorder="1" applyAlignment="1">
      <alignment horizontal="right" vertical="top"/>
    </xf>
    <xf numFmtId="164" fontId="6" fillId="6" borderId="9" xfId="0" applyNumberFormat="1" applyFont="1" applyFill="1" applyBorder="1" applyAlignment="1">
      <alignment horizontal="right" vertical="top"/>
    </xf>
    <xf numFmtId="164" fontId="6" fillId="6" borderId="11" xfId="0" applyNumberFormat="1" applyFont="1" applyFill="1" applyBorder="1" applyAlignment="1">
      <alignment horizontal="right" vertical="top"/>
    </xf>
    <xf numFmtId="0" fontId="13" fillId="0" borderId="0" xfId="0" applyFont="1" applyAlignment="1">
      <alignment horizontal="left" vertical="top"/>
    </xf>
    <xf numFmtId="0" fontId="13" fillId="0" borderId="0" xfId="0" applyFont="1" applyAlignment="1">
      <alignment horizontal="left" vertical="top" wrapText="1"/>
    </xf>
    <xf numFmtId="164" fontId="13" fillId="0" borderId="0" xfId="0" applyNumberFormat="1" applyFont="1" applyAlignment="1">
      <alignment horizontal="right" vertical="top"/>
    </xf>
    <xf numFmtId="0" fontId="0" fillId="0" borderId="133" xfId="0" applyBorder="1" applyAlignment="1">
      <alignment wrapText="1"/>
    </xf>
    <xf numFmtId="164" fontId="8" fillId="0" borderId="19" xfId="1" applyNumberFormat="1" applyBorder="1" applyAlignment="1">
      <alignment horizontal="right" vertical="top"/>
    </xf>
    <xf numFmtId="164" fontId="27" fillId="4" borderId="135" xfId="0" applyNumberFormat="1" applyFont="1" applyFill="1" applyBorder="1" applyAlignment="1">
      <alignment horizontal="right" vertical="top"/>
    </xf>
    <xf numFmtId="171" fontId="26" fillId="0" borderId="4" xfId="2" applyNumberFormat="1" applyFont="1" applyFill="1" applyBorder="1" applyAlignment="1" applyProtection="1">
      <alignment vertical="top"/>
    </xf>
    <xf numFmtId="164" fontId="6" fillId="0" borderId="4" xfId="2" applyNumberFormat="1" applyFont="1" applyFill="1" applyBorder="1" applyAlignment="1" applyProtection="1">
      <alignment horizontal="right" vertical="top" wrapText="1"/>
      <protection locked="0"/>
    </xf>
    <xf numFmtId="164" fontId="6" fillId="0" borderId="4" xfId="0" applyNumberFormat="1" applyFont="1" applyBorder="1" applyAlignment="1" applyProtection="1">
      <alignment horizontal="right" vertical="top"/>
      <protection locked="0"/>
    </xf>
    <xf numFmtId="164" fontId="6" fillId="0" borderId="75" xfId="0" applyNumberFormat="1" applyFont="1" applyBorder="1" applyAlignment="1" applyProtection="1">
      <alignment horizontal="right" vertical="top"/>
      <protection locked="0"/>
    </xf>
    <xf numFmtId="171" fontId="6" fillId="6" borderId="130" xfId="0" applyNumberFormat="1" applyFont="1" applyFill="1" applyBorder="1" applyAlignment="1">
      <alignment horizontal="right" vertical="top"/>
    </xf>
    <xf numFmtId="164" fontId="0" fillId="0" borderId="75" xfId="0" applyNumberFormat="1" applyBorder="1" applyProtection="1">
      <protection locked="0"/>
    </xf>
    <xf numFmtId="0" fontId="0" fillId="0" borderId="55" xfId="0" applyBorder="1" applyAlignment="1">
      <alignment horizontal="center" wrapText="1"/>
    </xf>
    <xf numFmtId="164" fontId="6" fillId="0" borderId="37" xfId="0" applyNumberFormat="1" applyFont="1" applyBorder="1" applyAlignment="1">
      <alignment horizontal="right" vertical="top"/>
    </xf>
    <xf numFmtId="0" fontId="6" fillId="0" borderId="38" xfId="0" applyFont="1" applyBorder="1" applyAlignment="1">
      <alignment horizontal="left" vertical="top"/>
    </xf>
    <xf numFmtId="164" fontId="16" fillId="7" borderId="10" xfId="1" applyNumberFormat="1" applyFont="1" applyFill="1" applyBorder="1"/>
    <xf numFmtId="164" fontId="16" fillId="3" borderId="10" xfId="1" applyNumberFormat="1" applyFont="1" applyFill="1" applyBorder="1"/>
    <xf numFmtId="164" fontId="0" fillId="7" borderId="135" xfId="0" applyNumberFormat="1" applyFill="1" applyBorder="1"/>
    <xf numFmtId="164" fontId="30" fillId="3" borderId="0" xfId="0" applyNumberFormat="1" applyFont="1" applyFill="1"/>
    <xf numFmtId="164" fontId="30" fillId="3" borderId="0" xfId="1" applyNumberFormat="1" applyFont="1" applyFill="1"/>
    <xf numFmtId="164" fontId="21" fillId="7" borderId="0" xfId="0" applyNumberFormat="1" applyFont="1" applyFill="1"/>
    <xf numFmtId="164" fontId="30" fillId="7" borderId="0" xfId="1" applyNumberFormat="1" applyFont="1" applyFill="1"/>
    <xf numFmtId="164" fontId="0" fillId="7" borderId="0" xfId="1" applyNumberFormat="1" applyFont="1" applyFill="1"/>
    <xf numFmtId="164" fontId="30" fillId="7" borderId="0" xfId="0" applyNumberFormat="1" applyFont="1" applyFill="1"/>
    <xf numFmtId="164" fontId="21" fillId="3" borderId="25" xfId="0" applyNumberFormat="1" applyFont="1" applyFill="1" applyBorder="1"/>
    <xf numFmtId="164" fontId="0" fillId="7" borderId="11" xfId="0" applyNumberFormat="1" applyFill="1" applyBorder="1"/>
  </cellXfs>
  <cellStyles count="11">
    <cellStyle name="20% - Akzent1_HH-Plan AStA + Fachschaften - Entwurf 2" xfId="2" xr:uid="{BACAFC77-6E7A-4C04-AC1D-A6870EAEED5C}"/>
    <cellStyle name="Excel Built-in Normal" xfId="10" xr:uid="{350CE305-4284-4431-8E2B-79CB002EE44B}"/>
    <cellStyle name="Excel Built-in Normal 1" xfId="6" xr:uid="{CAEC86B0-F361-4462-96D4-B63077A1311C}"/>
    <cellStyle name="Excel Built-in Normal 2" xfId="9" xr:uid="{36FB6886-2F20-4EEB-B799-4FB64BC317CC}"/>
    <cellStyle name="Excel Built-in Normal 4" xfId="8" xr:uid="{0AACAFCB-CFD1-4C8F-9893-C6CB648AECCD}"/>
    <cellStyle name="Link" xfId="1" builtinId="8"/>
    <cellStyle name="Prozent 2" xfId="5" xr:uid="{9D339764-6BD4-48E7-8CDD-19B36743D82D}"/>
    <cellStyle name="Standard" xfId="0" builtinId="0"/>
    <cellStyle name="Standard 2" xfId="3" xr:uid="{988A1245-658A-4B1A-A08E-6F868525EAE4}"/>
    <cellStyle name="Währung" xfId="7" builtinId="4"/>
    <cellStyle name="Währung 2" xfId="4" xr:uid="{368DC273-126C-43FA-AFDF-F4FDD3878B82}"/>
  </cellStyles>
  <dxfs count="1293">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protection locked="0" hidden="0"/>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protection locked="0" hidden="0"/>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indexed="64"/>
        </left>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family val="2"/>
        <scheme val="none"/>
      </font>
    </dxf>
    <dxf>
      <fill>
        <patternFill patternType="solid">
          <fgColor rgb="FF000000"/>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none"/>
      </font>
      <numFmt numFmtId="164" formatCode="#,##0.00\ &quot;€&quo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strike val="0"/>
        <outline val="0"/>
        <shadow val="0"/>
        <vertAlign val="baseline"/>
        <sz val="11"/>
        <name val="Calibri"/>
        <family val="2"/>
      </font>
      <numFmt numFmtId="164" formatCode="#,##0.00\ &quot;€&quot;"/>
      <fill>
        <patternFill patternType="none">
          <fgColor indexed="64"/>
          <bgColor indexed="65"/>
        </patternFill>
      </fill>
      <border diagonalUp="0" diagonalDown="0">
        <left style="thin">
          <color indexed="64"/>
        </left>
        <right style="thin">
          <color indexed="64"/>
        </right>
        <top/>
        <bottom/>
        <vertical style="thin">
          <color indexed="64"/>
        </vertical>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right style="medium">
          <color auto="1"/>
        </right>
        <top/>
        <bottom style="medium">
          <color auto="1"/>
        </bottom>
      </border>
    </dxf>
    <dxf>
      <font>
        <strike val="0"/>
        <outline val="0"/>
        <shadow val="0"/>
        <vertAlign val="baseline"/>
        <sz val="11"/>
        <name val="Calibri"/>
        <family val="2"/>
      </font>
      <numFmt numFmtId="164" formatCode="#,##0.00\ &quot;€&quot;"/>
      <fill>
        <patternFill patternType="none">
          <fgColor indexed="64"/>
          <bgColor indexed="65"/>
        </patternFill>
      </fill>
      <border diagonalUp="0" diagonalDown="0">
        <left style="thin">
          <color indexed="64"/>
        </left>
        <right style="thin">
          <color indexed="64"/>
        </right>
        <top/>
        <bottom/>
        <vertical style="thin">
          <color indexed="64"/>
        </vertical>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auto="1"/>
        </left>
        <right style="medium">
          <color auto="1"/>
        </right>
        <vertical style="thin">
          <color auto="1"/>
        </vertical>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medium">
          <color auto="1"/>
        </left>
        <right style="thin">
          <color auto="1"/>
        </right>
        <vertical style="thin">
          <color auto="1"/>
        </vertical>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righ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amily val="2"/>
      </font>
      <fill>
        <patternFill patternType="solid">
          <fgColor rgb="FF000000"/>
          <bgColor rgb="FFFF7C80"/>
        </patternFill>
      </fill>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0"/>
        <color auto="1"/>
        <name val="Calibri"/>
        <family val="2"/>
        <scheme val="none"/>
      </font>
      <alignment horizontal="left" vertical="top" textRotation="0" wrapText="0" indent="0" justifyLastLine="0" shrinkToFit="0" readingOrder="0"/>
    </dxf>
    <dxf>
      <border>
        <bottom style="medium">
          <color indexed="64"/>
        </bottom>
      </border>
    </dxf>
    <dxf>
      <font>
        <strike val="0"/>
        <outline val="0"/>
        <shadow val="0"/>
        <vertAlign val="baseline"/>
        <sz val="10"/>
        <name val="Calibri"/>
        <family val="2"/>
      </font>
      <alignment horizontal="general" vertical="top" textRotation="0" wrapText="1" indent="0" justifyLastLine="0" shrinkToFit="0" readingOrder="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protection locked="0" hidden="0"/>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protection locked="0" hidden="0"/>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indexed="64"/>
        </left>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family val="2"/>
        <scheme val="none"/>
      </font>
    </dxf>
    <dxf>
      <fill>
        <patternFill patternType="solid">
          <fgColor rgb="FF000000"/>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protection locked="0" hidden="0"/>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protection locked="0" hidden="0"/>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indexed="64"/>
        </left>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family val="2"/>
        <scheme val="none"/>
      </font>
    </dxf>
    <dxf>
      <fill>
        <patternFill patternType="solid">
          <fgColor rgb="FF000000"/>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none"/>
      </font>
      <numFmt numFmtId="164" formatCode="#,##0.00\ &quot;€&quo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strike val="0"/>
        <outline val="0"/>
        <shadow val="0"/>
        <vertAlign val="baseline"/>
        <sz val="11"/>
        <name val="Calibri"/>
        <family val="2"/>
      </font>
      <numFmt numFmtId="164" formatCode="#,##0.00\ &quot;€&quot;"/>
      <fill>
        <patternFill patternType="none">
          <fgColor indexed="64"/>
          <bgColor indexed="65"/>
        </patternFill>
      </fill>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vertAlign val="baseline"/>
        <sz val="11"/>
        <name val="Calibri"/>
        <family val="2"/>
      </font>
      <numFmt numFmtId="164" formatCode="#,##0.00\ &quot;€&quot;"/>
      <fill>
        <patternFill patternType="none">
          <fgColor indexed="64"/>
          <bgColor indexed="65"/>
        </patternFill>
      </fill>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auto="1"/>
        </left>
        <right style="medium">
          <color auto="1"/>
        </right>
        <vertical style="thin">
          <color auto="1"/>
        </vertical>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medium">
          <color auto="1"/>
        </left>
        <right style="thin">
          <color auto="1"/>
        </right>
        <vertical style="thin">
          <color auto="1"/>
        </vertical>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righ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amily val="2"/>
      </font>
      <fill>
        <patternFill patternType="solid">
          <fgColor rgb="FF000000"/>
          <bgColor rgb="FFFF7C80"/>
        </patternFill>
      </fill>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0"/>
        <color auto="1"/>
        <name val="Calibri"/>
        <family val="2"/>
        <scheme val="none"/>
      </font>
      <alignment horizontal="left" vertical="top" textRotation="0" wrapText="0" indent="0" justifyLastLine="0" shrinkToFit="0" readingOrder="0"/>
    </dxf>
    <dxf>
      <border>
        <bottom style="medium">
          <color indexed="64"/>
        </bottom>
      </border>
    </dxf>
    <dxf>
      <font>
        <strike val="0"/>
        <outline val="0"/>
        <shadow val="0"/>
        <vertAlign val="baseline"/>
        <sz val="10"/>
        <name val="Calibri"/>
        <family val="2"/>
      </font>
      <alignment horizontal="general" vertical="top" textRotation="0" wrapText="1" indent="0" justifyLastLine="0" shrinkToFit="0" readingOrder="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protection locked="0" hidden="0"/>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protection locked="0" hidden="0"/>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indexed="64"/>
        </left>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family val="2"/>
        <scheme val="none"/>
      </font>
    </dxf>
    <dxf>
      <fill>
        <patternFill patternType="solid">
          <fgColor rgb="FF000000"/>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right style="medium">
          <color indexed="64"/>
        </right>
        <top/>
        <bottom/>
        <vertical/>
        <horizontal/>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protection locked="0" hidden="0"/>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protection locked="0" hidden="0"/>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indexed="64"/>
        </left>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family val="2"/>
        <scheme val="none"/>
      </font>
    </dxf>
    <dxf>
      <fill>
        <patternFill patternType="solid">
          <fgColor rgb="FF000000"/>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none"/>
      </font>
      <numFmt numFmtId="164" formatCode="#,##0.00\ &quot;€&quo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bottom/>
        <vertical style="thin">
          <color indexed="64"/>
        </vertical>
      </border>
    </dxf>
    <dxf>
      <font>
        <b val="0"/>
        <i val="0"/>
        <strike val="0"/>
        <condense val="0"/>
        <extend val="0"/>
        <outline val="0"/>
        <shadow val="0"/>
        <u val="none"/>
        <vertAlign val="baseline"/>
        <sz val="11"/>
        <color auto="1"/>
        <name val="Calibri"/>
        <family val="2"/>
        <scheme val="none"/>
      </font>
      <numFmt numFmtId="171" formatCode="#,##0.00\ _€"/>
      <fill>
        <patternFill patternType="solid">
          <fgColor indexed="64"/>
          <bgColor rgb="FFFF7C80"/>
        </patternFill>
      </fill>
      <alignment horizontal="right" vertical="top" textRotation="0" wrapText="0" indent="0" justifyLastLine="0" shrinkToFit="0" readingOrder="0"/>
      <border diagonalUp="0" diagonalDown="0" outline="0">
        <left/>
        <right style="medium">
          <color auto="1"/>
        </right>
        <top/>
        <bottom style="medium">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bottom/>
        <vertical style="thin">
          <color indexed="64"/>
        </vertical>
      </border>
    </dxf>
    <dxf>
      <font>
        <b val="0"/>
        <i val="0"/>
        <strike val="0"/>
        <condense val="0"/>
        <extend val="0"/>
        <outline val="0"/>
        <shadow val="0"/>
        <u val="none"/>
        <vertAlign val="baseline"/>
        <sz val="11"/>
        <color auto="1"/>
        <name val="Calibri"/>
        <family val="2"/>
        <scheme val="none"/>
      </font>
      <numFmt numFmtId="171" formatCode="#,##0.00\ _€"/>
      <fill>
        <patternFill patternType="solid">
          <fgColor indexed="64"/>
          <bgColor rgb="FFFF7C80"/>
        </patternFill>
      </fill>
      <alignment horizontal="right" vertical="top" textRotation="0" wrapText="0" indent="0" justifyLastLine="0" shrinkToFit="0" readingOrder="0"/>
      <border diagonalUp="0" diagonalDown="0" outline="0">
        <left/>
        <right style="medium">
          <color auto="1"/>
        </right>
        <top/>
        <bottom style="medium">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auto="1"/>
        </left>
        <right style="medium">
          <color auto="1"/>
        </right>
        <top/>
        <bottom/>
        <vertical style="thin">
          <color auto="1"/>
        </vertical>
        <horizontal/>
      </border>
    </dxf>
    <dxf>
      <font>
        <b val="0"/>
        <i val="0"/>
        <strike val="0"/>
        <condense val="0"/>
        <extend val="0"/>
        <outline val="0"/>
        <shadow val="0"/>
        <u val="none"/>
        <vertAlign val="baseline"/>
        <sz val="11"/>
        <color auto="1"/>
        <name val="Calibri"/>
        <family val="2"/>
        <scheme val="none"/>
      </font>
      <numFmt numFmtId="171" formatCode="#,##0.00\ _€"/>
      <fill>
        <patternFill patternType="solid">
          <fgColor indexed="64"/>
          <bgColor rgb="FFFF7C80"/>
        </patternFill>
      </fill>
      <alignment horizontal="right" vertical="top" textRotation="0" wrapText="0" indent="0" justifyLastLine="0" shrinkToFit="0" readingOrder="0"/>
      <border diagonalUp="0" diagonalDown="0" outline="0">
        <left/>
        <right style="medium">
          <color auto="1"/>
        </right>
        <top/>
        <bottom style="medium">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medium">
          <color auto="1"/>
        </left>
        <right style="thin">
          <color auto="1"/>
        </right>
        <top/>
        <bottom/>
        <vertical style="thin">
          <color auto="1"/>
        </vertical>
        <horizontal/>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righ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amily val="2"/>
      </font>
      <fill>
        <patternFill patternType="solid">
          <fgColor rgb="FF000000"/>
          <bgColor rgb="FFFF7C80"/>
        </patternFill>
      </fill>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0"/>
        <color auto="1"/>
        <name val="Calibri"/>
        <family val="2"/>
        <scheme val="none"/>
      </font>
      <alignment horizontal="left" vertical="top" textRotation="0" wrapText="0" indent="0" justifyLastLine="0" shrinkToFit="0" readingOrder="0"/>
    </dxf>
    <dxf>
      <border>
        <bottom style="medium">
          <color indexed="64"/>
        </bottom>
      </border>
    </dxf>
    <dxf>
      <font>
        <strike val="0"/>
        <outline val="0"/>
        <shadow val="0"/>
        <vertAlign val="baseline"/>
        <sz val="10"/>
        <name val="Calibri"/>
        <family val="2"/>
      </font>
      <alignment horizontal="general" vertical="top" textRotation="0" wrapText="1" indent="0" justifyLastLine="0" shrinkToFit="0" readingOrder="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right style="medium">
          <color indexed="64"/>
        </right>
        <top/>
        <bottom/>
        <vertical/>
        <horizontal/>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protection locked="0" hidden="0"/>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protection locked="0" hidden="0"/>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indexed="64"/>
        </left>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family val="2"/>
        <scheme val="none"/>
      </font>
    </dxf>
    <dxf>
      <fill>
        <patternFill patternType="solid">
          <fgColor rgb="FF000000"/>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protection locked="0" hidden="0"/>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protection locked="0" hidden="0"/>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indexed="64"/>
        </left>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family val="2"/>
        <scheme val="none"/>
      </font>
    </dxf>
    <dxf>
      <fill>
        <patternFill patternType="solid">
          <fgColor rgb="FF000000"/>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none"/>
      </font>
      <numFmt numFmtId="164" formatCode="#,##0.00\ &quot;€&quo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right style="medium">
          <color auto="1"/>
        </right>
        <top/>
        <bottom style="medium">
          <color auto="1"/>
        </bottom>
      </border>
    </dxf>
    <dxf>
      <font>
        <b val="0"/>
        <i val="0"/>
        <strike val="0"/>
        <condense val="0"/>
        <extend val="0"/>
        <outline val="0"/>
        <shadow val="0"/>
        <u val="none"/>
        <vertAlign val="baseline"/>
        <sz val="11"/>
        <color auto="1"/>
        <name val="Calibri"/>
        <family val="2"/>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thin">
          <color indexed="64"/>
        </right>
        <top/>
        <bottom style="thin">
          <color indexed="64"/>
        </bottom>
      </border>
    </dxf>
    <dxf>
      <font>
        <strike val="0"/>
        <outline val="0"/>
        <shadow val="0"/>
        <vertAlign val="baseline"/>
        <sz val="11"/>
        <name val="Calibri"/>
        <family val="2"/>
      </font>
      <numFmt numFmtId="164" formatCode="#,##0.00\ &quot;€&quot;"/>
      <fill>
        <patternFill patternType="none">
          <fgColor indexed="64"/>
          <bgColor indexed="65"/>
        </patternFill>
      </fill>
      <border diagonalUp="0" diagonalDown="0">
        <left/>
        <right style="medium">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right style="medium">
          <color indexed="64"/>
        </right>
        <top/>
        <bottom style="thin">
          <color indexed="64"/>
        </bottom>
      </border>
    </dxf>
    <dxf>
      <font>
        <strike val="0"/>
        <outline val="0"/>
        <shadow val="0"/>
        <vertAlign val="baseline"/>
        <sz val="11"/>
        <name val="Calibri"/>
        <family val="2"/>
      </font>
      <numFmt numFmtId="164" formatCode="#,##0.00\ &quot;€&quot;"/>
      <fill>
        <patternFill patternType="none">
          <fgColor indexed="64"/>
          <bgColor indexed="65"/>
        </patternFill>
      </fill>
      <border diagonalUp="0" diagonalDown="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auto="1"/>
        </left>
        <right style="medium">
          <color auto="1"/>
        </right>
        <top/>
        <bottom/>
        <vertical style="thin">
          <color auto="1"/>
        </vertical>
        <horizontal/>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medium">
          <color auto="1"/>
        </left>
        <right style="thin">
          <color auto="1"/>
        </right>
        <top/>
        <bottom/>
        <vertical style="thin">
          <color auto="1"/>
        </vertical>
        <horizontal/>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righ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amily val="2"/>
      </font>
      <fill>
        <patternFill patternType="solid">
          <fgColor rgb="FF000000"/>
          <bgColor rgb="FFFF7C80"/>
        </patternFill>
      </fill>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0"/>
        <color auto="1"/>
        <name val="Calibri"/>
        <family val="2"/>
        <scheme val="none"/>
      </font>
      <alignment horizontal="left" vertical="top" textRotation="0" wrapText="0" indent="0" justifyLastLine="0" shrinkToFit="0" readingOrder="0"/>
    </dxf>
    <dxf>
      <border>
        <bottom style="medium">
          <color indexed="64"/>
        </bottom>
      </border>
    </dxf>
    <dxf>
      <font>
        <strike val="0"/>
        <outline val="0"/>
        <shadow val="0"/>
        <vertAlign val="baseline"/>
        <sz val="10"/>
        <name val="Calibri"/>
        <family val="2"/>
      </font>
      <alignment horizontal="general" vertical="top" textRotation="0" wrapText="1" indent="0" justifyLastLine="0" shrinkToFit="0" readingOrder="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right style="medium">
          <color indexed="64"/>
        </right>
        <top/>
        <bottom/>
      </border>
      <protection locked="1"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protection locked="0" hidden="0"/>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left style="thin">
          <color indexed="64"/>
        </left>
        <right style="thin">
          <color indexed="64"/>
        </right>
        <top style="thin">
          <color indexed="64"/>
        </top>
        <bottom style="medium">
          <color indexed="64"/>
        </bottom>
      </border>
      <protection locked="0" hidden="0"/>
    </dxf>
    <dxf>
      <font>
        <strike val="0"/>
        <outline val="0"/>
        <shadow val="0"/>
        <vertAlign val="baseline"/>
        <sz val="10"/>
        <color rgb="FF000000"/>
        <name val="Calibri"/>
        <family val="2"/>
        <scheme val="none"/>
      </font>
    </dxf>
    <dxf>
      <font>
        <strike val="0"/>
        <outline val="0"/>
        <shadow val="0"/>
        <vertAlign val="baseline"/>
        <sz val="10"/>
        <color rgb="FF000000"/>
        <name val="Calibri"/>
        <family val="2"/>
        <scheme val="none"/>
      </font>
      <fill>
        <patternFill patternType="solid">
          <fgColor rgb="FF000000"/>
          <bgColor rgb="FFFFCCCC"/>
        </patternFill>
      </fill>
      <protection locked="0" hidden="0"/>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ertAlign val="baseline"/>
        <sz val="11"/>
        <color theme="10"/>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solid">
          <fgColor indexed="64"/>
          <bgColor theme="9" tint="0.79998168889431442"/>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indexed="64"/>
        </left>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rgb="FF000000"/>
        <name val="Calibri"/>
        <family val="2"/>
        <scheme val="none"/>
      </font>
    </dxf>
    <dxf>
      <fill>
        <patternFill patternType="solid">
          <fgColor rgb="FF000000"/>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theme="1"/>
        <name val="Calibri"/>
        <family val="2"/>
        <scheme val="minor"/>
      </font>
    </dxf>
    <dxf>
      <font>
        <strike val="0"/>
        <outline val="0"/>
        <shadow val="0"/>
        <vertAlign val="baseline"/>
        <sz val="10"/>
        <color theme="1"/>
        <name val="Calibri"/>
        <family val="2"/>
        <scheme val="minor"/>
      </font>
      <fill>
        <patternFill patternType="solid">
          <fgColor indexed="64"/>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right style="medium">
          <color indexed="64"/>
        </right>
        <top/>
        <bottom/>
      </border>
      <protection locked="1"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medium">
          <color indexed="64"/>
        </bottom>
      </border>
    </dxf>
    <dxf>
      <font>
        <strike val="0"/>
        <outline val="0"/>
        <shadow val="0"/>
        <vertAlign val="baseline"/>
        <sz val="10"/>
        <color theme="1"/>
        <name val="Calibri"/>
        <family val="2"/>
        <scheme val="minor"/>
      </font>
    </dxf>
    <dxf>
      <font>
        <strike val="0"/>
        <outline val="0"/>
        <shadow val="0"/>
        <vertAlign val="baseline"/>
        <sz val="10"/>
        <color theme="1"/>
        <name val="Calibri"/>
        <family val="2"/>
        <scheme val="minor"/>
      </font>
      <fill>
        <patternFill patternType="solid">
          <fgColor indexed="64"/>
          <bgColor rgb="FFFFCCCC"/>
        </patternFill>
      </fill>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none">
          <fgColor indexed="64"/>
          <bgColor indexed="65"/>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auto="1"/>
        </left>
        <right/>
        <top/>
        <bottom/>
        <vertical/>
        <horizontal/>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theme="1"/>
        <name val="Calibri"/>
        <family val="2"/>
        <scheme val="minor"/>
      </font>
    </dxf>
    <dxf>
      <fill>
        <patternFill patternType="solid">
          <fgColor indexed="64"/>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fill>
        <patternFill patternType="solid">
          <fgColor indexed="64"/>
          <bgColor rgb="FFFF7C80"/>
        </patternFill>
      </fill>
      <border diagonalUp="0" diagonalDown="0" outline="0">
        <left/>
        <right style="medium">
          <color auto="1"/>
        </right>
        <top style="medium">
          <color auto="1"/>
        </top>
        <bottom style="medium">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right style="medium">
          <color auto="1"/>
        </right>
        <top/>
        <bottom style="medium">
          <color auto="1"/>
        </bottom>
      </border>
    </dxf>
    <dxf>
      <font>
        <b val="0"/>
        <i val="0"/>
        <strike val="0"/>
        <condense val="0"/>
        <extend val="0"/>
        <outline val="0"/>
        <shadow val="0"/>
        <u val="none"/>
        <vertAlign val="baseline"/>
        <sz val="11"/>
        <color auto="1"/>
        <name val="Calibri"/>
        <family val="2"/>
        <scheme val="none"/>
      </font>
      <numFmt numFmtId="0" formatCode="General"/>
      <alignment horizontal="left" vertical="top"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style="medium">
          <color indexed="64"/>
        </left>
        <right style="thin">
          <color indexed="64"/>
        </right>
        <top/>
        <bottom style="thin">
          <color indexed="64"/>
        </bottom>
      </border>
    </dxf>
    <dxf>
      <font>
        <strike val="0"/>
        <outline val="0"/>
        <shadow val="0"/>
        <u/>
        <vertAlign val="baseline"/>
        <sz val="11"/>
        <color theme="4"/>
        <name val="Calibri"/>
        <family val="2"/>
      </font>
      <numFmt numFmtId="164" formatCode="#,##0.00\ &quot;€&quot;"/>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right style="medium">
          <color indexed="64"/>
        </right>
        <top/>
        <bottom style="thin">
          <color indexed="64"/>
        </bottom>
      </border>
    </dxf>
    <dxf>
      <font>
        <strike val="0"/>
        <outline val="0"/>
        <shadow val="0"/>
        <vertAlign val="baseline"/>
        <sz val="11"/>
        <name val="Calibri"/>
        <family val="2"/>
      </font>
      <numFmt numFmtId="164" formatCode="#,##0.00\ &quot;€&quot;"/>
      <fill>
        <patternFill patternType="none">
          <fgColor indexed="64"/>
          <bgColor indexed="65"/>
        </patternFill>
      </fill>
      <border diagonalUp="0" diagonalDown="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right style="medium">
          <color indexed="64"/>
        </right>
        <top/>
        <bottom style="thin">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medium">
          <color indexed="64"/>
        </right>
        <vertical style="thin">
          <color indexed="64"/>
        </vertical>
      </border>
    </dxf>
    <dxf>
      <font>
        <b val="0"/>
        <i val="0"/>
        <strike val="0"/>
        <condense val="0"/>
        <extend val="0"/>
        <outline val="0"/>
        <shadow val="0"/>
        <u val="none"/>
        <vertAlign val="baseline"/>
        <sz val="11"/>
        <color auto="1"/>
        <name val="Calibri"/>
        <family val="2"/>
        <scheme val="none"/>
      </font>
      <numFmt numFmtId="164" formatCode="#,##0.00\ &quot;€&quot;"/>
      <fill>
        <patternFill patternType="solid">
          <fgColor indexed="64"/>
          <bgColor rgb="FFFF7C80"/>
        </patternFill>
      </fill>
      <alignment horizontal="right" vertical="top" textRotation="0" wrapText="0" indent="0" justifyLastLine="0" shrinkToFit="0" readingOrder="0"/>
      <border diagonalUp="0" diagonalDown="0" outline="0">
        <left/>
        <right style="medium">
          <color indexed="64"/>
        </right>
        <top/>
        <bottom style="thin">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medium">
          <color indexed="64"/>
        </left>
        <right style="thin">
          <color indexed="64"/>
        </right>
        <vertical style="thin">
          <color indexed="64"/>
        </vertical>
      </border>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righ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dxf>
    <dxf>
      <font>
        <strike val="0"/>
        <outline val="0"/>
        <shadow val="0"/>
        <vertAlign val="baseline"/>
        <sz val="1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rgb="FFFF7C80"/>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right style="thin">
          <color indexed="64"/>
        </right>
        <top/>
        <bottom/>
      </border>
      <protection locked="0" hidden="0"/>
    </dxf>
    <dxf>
      <font>
        <strike val="0"/>
        <outline val="0"/>
        <shadow val="0"/>
        <vertAlign val="baseline"/>
        <sz val="10"/>
        <name val="Calibri"/>
        <family val="2"/>
      </font>
      <fill>
        <patternFill patternType="solid">
          <fgColor indexed="64"/>
          <bgColor rgb="FFFF7C80"/>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dxf>
    <dxf>
      <font>
        <strike val="0"/>
        <outline val="0"/>
        <shadow val="0"/>
        <vertAlign val="baseline"/>
        <sz val="10"/>
        <name val="Calibri"/>
        <family val="2"/>
      </font>
      <alignment horizontal="general" vertical="top" textRotation="0" wrapText="1" indent="0" justifyLastLine="0" shrinkToFit="0" readingOrder="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outline="0">
        <left/>
        <right style="medium">
          <color indexed="64"/>
        </right>
        <top/>
        <bottom/>
      </border>
      <protection locked="1"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vertAlign val="baseline"/>
        <sz val="10"/>
        <color theme="1"/>
        <name val="Calibri"/>
        <family val="2"/>
        <scheme val="minor"/>
      </font>
      <numFmt numFmtId="0" formatCode="General"/>
    </dxf>
    <dxf>
      <font>
        <strike val="0"/>
        <outline val="0"/>
        <shadow val="0"/>
        <vertAlign val="baseline"/>
        <sz val="10"/>
        <color theme="1"/>
        <name val="Calibri"/>
        <family val="2"/>
        <scheme val="minor"/>
      </font>
    </dxf>
    <dxf>
      <font>
        <strike val="0"/>
        <outline val="0"/>
        <shadow val="0"/>
        <vertAlign val="baseline"/>
        <sz val="10"/>
        <color theme="1"/>
        <name val="Calibri"/>
        <family val="2"/>
        <scheme val="minor"/>
      </font>
      <fill>
        <patternFill patternType="solid">
          <fgColor indexed="64"/>
          <bgColor rgb="FFFFCCCC"/>
        </patternFill>
      </fill>
    </dxf>
    <dxf>
      <font>
        <strike val="0"/>
        <outline val="0"/>
        <shadow val="0"/>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border diagonalUp="0" diagonalDown="0">
        <left/>
        <right style="medium">
          <color indexed="64"/>
        </right>
        <top/>
        <bottom/>
      </border>
      <protection locked="1"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numFmt numFmtId="164" formatCode="#,##0.00\ &quot;€&quot;"/>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rgb="FFFFCCCC"/>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font>
        <strike val="0"/>
        <outline val="0"/>
        <shadow val="0"/>
        <vertAlign val="baseline"/>
        <sz val="10"/>
        <color theme="1"/>
        <name val="Calibri"/>
        <family val="2"/>
        <scheme val="minor"/>
      </font>
      <numFmt numFmtId="164" formatCode="#,##0.00\ &quot;€&quot;"/>
      <fill>
        <patternFill patternType="solid">
          <fgColor indexed="64"/>
          <bgColor theme="9" tint="0.79998168889431442"/>
        </patternFill>
      </fill>
      <border diagonalUp="0" diagonalDown="0">
        <left style="medium">
          <color indexed="64"/>
        </left>
        <right/>
        <top/>
        <bottom/>
        <vertical/>
        <horizontal/>
      </border>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strike val="0"/>
        <outline val="0"/>
        <shadow val="0"/>
        <vertAlign val="baseline"/>
        <sz val="10"/>
        <color theme="1"/>
        <name val="Calibri"/>
        <family val="2"/>
        <scheme val="minor"/>
      </font>
      <numFmt numFmtId="3" formatCode="#,##0"/>
      <fill>
        <patternFill patternType="none">
          <fgColor indexed="64"/>
          <bgColor auto="1"/>
        </patternFill>
      </fill>
      <border diagonalUp="0" diagonalDown="0" outline="0">
        <left style="thin">
          <color indexed="64"/>
        </left>
        <right style="thin">
          <color indexed="64"/>
        </right>
        <top style="thin">
          <color indexed="64"/>
        </top>
        <bottom style="medium">
          <color indexed="64"/>
        </bottom>
      </border>
    </dxf>
    <dxf>
      <font>
        <strike val="0"/>
        <outline val="0"/>
        <shadow val="0"/>
        <vertAlign val="baseline"/>
        <sz val="10"/>
        <color theme="1"/>
        <name val="Calibri"/>
        <family val="2"/>
        <scheme val="minor"/>
      </font>
    </dxf>
    <dxf>
      <font>
        <strike val="0"/>
        <outline val="0"/>
        <shadow val="0"/>
        <vertAlign val="baseline"/>
        <sz val="10"/>
        <color theme="1"/>
        <name val="Calibri"/>
        <family val="2"/>
        <scheme val="minor"/>
      </font>
      <fill>
        <patternFill patternType="solid">
          <fgColor indexed="64"/>
          <bgColor rgb="FFFFCCCC"/>
        </patternFill>
      </fill>
    </dxf>
    <dxf>
      <font>
        <strike val="0"/>
        <outline val="0"/>
        <shadow val="0"/>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0.00\ &quot;€&quot;"/>
      <fill>
        <patternFill patternType="solid">
          <fgColor indexed="64"/>
          <bgColor rgb="FFFF7C80"/>
        </patternFill>
      </fill>
      <border diagonalUp="0" diagonalDown="0" outline="0">
        <left/>
        <right style="medium">
          <color auto="1"/>
        </right>
        <top style="medium">
          <color auto="1"/>
        </top>
        <bottom style="medium">
          <color auto="1"/>
        </bottom>
      </border>
    </dxf>
    <dxf>
      <numFmt numFmtId="164" formatCode="#,##0.00\ &quot;€&quot;"/>
      <fill>
        <patternFill patternType="solid">
          <fgColor indexed="64"/>
          <bgColor rgb="FFFFCCCC"/>
        </patternFill>
      </fill>
      <border diagonalUp="0" diagonalDown="0">
        <left style="thin">
          <color indexed="64"/>
        </left>
        <right style="medium">
          <color indexed="64"/>
        </right>
        <top style="thin">
          <color indexed="64"/>
        </top>
        <bottom style="thin">
          <color indexed="64"/>
        </bottom>
        <vertical/>
        <horizontal/>
      </border>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rgb="FFFF7C80"/>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right/>
        <top style="medium">
          <color indexed="64"/>
        </top>
        <bottom style="medium">
          <color indexed="64"/>
        </bottom>
      </border>
    </dxf>
    <dxf>
      <numFmt numFmtId="164" formatCode="#,##0.00\ &quot;€&quot;"/>
      <fill>
        <patternFill patternType="none">
          <fgColor indexed="64"/>
          <bgColor indexed="65"/>
        </patternFill>
      </fill>
      <protection locked="0" hidden="0"/>
    </dxf>
    <dxf>
      <font>
        <b/>
        <i val="0"/>
        <strike val="0"/>
        <condense val="0"/>
        <extend val="0"/>
        <outline val="0"/>
        <shadow val="0"/>
        <u/>
        <vertAlign val="baseline"/>
        <sz val="10"/>
        <color theme="1"/>
        <name val="Calibri"/>
        <family val="2"/>
        <scheme val="minor"/>
      </font>
      <numFmt numFmtId="164" formatCode="#,##0.00\ &quot;€&quot;"/>
      <fill>
        <patternFill patternType="solid">
          <fgColor indexed="64"/>
          <bgColor theme="9" tint="0.39997558519241921"/>
        </patternFill>
      </fill>
      <border diagonalUp="0" diagonalDown="0" outline="0">
        <left style="medium">
          <color indexed="64"/>
        </left>
        <right/>
        <top style="medium">
          <color indexed="64"/>
        </top>
        <bottom style="medium">
          <color indexed="64"/>
        </bottom>
      </border>
    </dxf>
    <dxf>
      <numFmt numFmtId="164" formatCode="#,##0.00\ &quot;€&quot;"/>
      <fill>
        <patternFill patternType="none">
          <fgColor indexed="64"/>
          <bgColor indexed="65"/>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border diagonalUp="0" diagonalDown="0" outline="0">
        <left/>
        <right/>
        <top/>
        <bottom style="medium">
          <color indexed="64"/>
        </bottom>
      </border>
    </dxf>
    <dxf>
      <border diagonalUp="0" diagonalDown="0">
        <left style="thin">
          <color auto="1"/>
        </left>
        <right/>
        <top/>
        <bottom/>
        <vertical/>
        <horizontal/>
      </border>
      <protection locked="0" hidden="0"/>
    </dxf>
    <dxf>
      <font>
        <b val="0"/>
        <i val="0"/>
        <strike val="0"/>
        <condense val="0"/>
        <extend val="0"/>
        <outline val="0"/>
        <shadow val="0"/>
        <u val="none"/>
        <vertAlign val="baseline"/>
        <sz val="10"/>
        <color theme="1"/>
        <name val="Calibri"/>
        <family val="2"/>
        <scheme val="minor"/>
      </font>
      <border diagonalUp="0" diagonalDown="0" outline="0">
        <left style="medium">
          <color indexed="64"/>
        </left>
        <right style="thin">
          <color auto="1"/>
        </right>
        <top/>
        <bottom style="medium">
          <color indexed="64"/>
        </bottom>
      </border>
    </dxf>
    <dxf>
      <numFmt numFmtId="3" formatCode="#,##0"/>
      <fill>
        <patternFill patternType="none">
          <fgColor indexed="64"/>
          <bgColor auto="1"/>
        </patternFill>
      </fill>
      <border diagonalUp="0" diagonalDown="0">
        <left style="thin">
          <color indexed="64"/>
        </left>
        <right style="thin">
          <color indexed="64"/>
        </right>
        <top style="thin">
          <color indexed="64"/>
        </top>
        <bottom/>
      </border>
      <protection locked="0" hidden="0"/>
    </dxf>
    <dxf>
      <font>
        <strike val="0"/>
        <outline val="0"/>
        <shadow val="0"/>
        <vertAlign val="baseline"/>
        <sz val="10"/>
        <color theme="1"/>
        <name val="Calibri"/>
        <family val="2"/>
        <scheme val="minor"/>
      </font>
    </dxf>
    <dxf>
      <fill>
        <patternFill patternType="solid">
          <fgColor indexed="64"/>
          <bgColor rgb="FFFFCCCC"/>
        </patternFill>
      </fill>
      <protection locked="0" hidden="0"/>
    </dxf>
    <dxf>
      <font>
        <strike val="0"/>
        <outline val="0"/>
        <shadow val="0"/>
        <u val="none"/>
        <vertAlign val="baseline"/>
        <sz val="11"/>
        <color theme="1"/>
        <name val="Calibri"/>
        <family val="2"/>
        <scheme val="minor"/>
      </font>
      <alignment horizontal="general" vertical="bottom" textRotation="0" wrapText="1" indent="0" justifyLastLine="0" shrinkToFit="0" readingOrder="0"/>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auto="1"/>
        </right>
        <top style="thin">
          <color auto="1"/>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relative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right/>
        <top style="thin">
          <color auto="1"/>
        </top>
        <bottom style="thin">
          <color auto="1"/>
        </bottom>
      </border>
    </dxf>
    <dxf>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top style="thin">
          <color indexed="64"/>
        </top>
        <bottom style="thin">
          <color indexed="64"/>
        </bottom>
      </border>
    </dxf>
    <dxf>
      <numFmt numFmtId="164" formatCode="#,##0.00\ &quot;€&quot;"/>
      <border diagonalUp="0" diagonalDown="0" outline="0">
        <left style="thin">
          <color indexed="64"/>
        </left>
        <right style="thin">
          <color indexed="64"/>
        </right>
        <top style="thin">
          <color indexed="64"/>
        </top>
        <bottom/>
      </border>
    </dxf>
    <dxf>
      <numFmt numFmtId="164" formatCode="#,##0.00\ &quot;€&quot;"/>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right/>
        <top style="thin">
          <color auto="1"/>
        </top>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indexed="64"/>
        </left>
        <right/>
        <top style="thin">
          <color indexed="64"/>
        </top>
        <bottom/>
      </border>
    </dxf>
    <dxf>
      <alignment horizontal="left" vertical="bottom" textRotation="0" relativeIndent="1"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34" formatCode="_-* #,##0.00\ &quot;€&quot;_-;\-* #,##0.00\ &quot;€&quot;_-;_-* &quot;-&quot;??\ &quot;€&quot;_-;_-@_-"/>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style="thin">
          <color indexed="64"/>
        </left>
        <right style="thin">
          <color indexed="64"/>
        </right>
        <top style="thin">
          <color indexed="64"/>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1" justifyLastLine="0" shrinkToFit="0" readingOrder="0"/>
      <border diagonalUp="0" diagonalDown="0" outline="0">
        <left style="thin">
          <color indexed="64"/>
        </left>
        <right style="thin">
          <color indexed="64"/>
        </right>
        <top style="thin">
          <color indexed="64"/>
        </top>
        <bottom/>
      </border>
    </dxf>
    <dxf>
      <alignment horizontal="left" vertical="bottom"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right style="thin">
          <color auto="1"/>
        </right>
        <top style="thin">
          <color auto="1"/>
        </top>
        <bottom/>
      </border>
    </dxf>
    <dxf>
      <alignment horizontal="left" vertical="bottom" textRotation="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alignment horizontal="left" vertical="bottom" textRotation="0" relativeIndent="1" justifyLastLine="0" shrinkToFit="0" readingOrder="0"/>
    </dxf>
    <dxf>
      <border outline="0">
        <left style="medium">
          <color indexed="64"/>
        </left>
        <right style="medium">
          <color indexed="64"/>
        </right>
        <top style="medium">
          <color indexed="64"/>
        </top>
        <bottom style="medium">
          <color indexed="64"/>
        </bottom>
      </border>
    </dxf>
    <dxf>
      <alignment horizontal="left" vertical="bottom" textRotation="0" relativeIndent="1" justifyLastLine="0" shrinkToFit="0" readingOrder="0"/>
    </dxf>
    <dxf>
      <border outline="0">
        <bottom style="thin">
          <color auto="1"/>
        </bottom>
      </border>
    </dxf>
    <dxf>
      <alignment horizontal="left" vertical="bottom" textRotation="0" relativeIndent="1" justifyLastLine="0" shrinkToFit="0" readingOrder="0"/>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1" justifyLastLine="0" shrinkToFit="0" readingOrder="0"/>
      <border diagonalUp="0" diagonalDown="0" outline="0">
        <left style="thin">
          <color indexed="64"/>
        </left>
        <right style="thin">
          <color auto="1"/>
        </right>
        <top style="thin">
          <color auto="1"/>
        </top>
        <bottom/>
      </border>
    </dxf>
    <dxf>
      <alignment horizontal="left" vertical="bottom"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right style="thin">
          <color auto="1"/>
        </right>
        <top style="thin">
          <color auto="1"/>
        </top>
        <bottom/>
      </border>
    </dxf>
    <dxf>
      <alignment horizontal="left" vertical="bottom" textRotation="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alignment horizontal="left" vertical="bottom" textRotation="0" relativeIndent="1" justifyLastLine="0" shrinkToFit="0" readingOrder="0"/>
    </dxf>
    <dxf>
      <border outline="0">
        <left style="medium">
          <color indexed="64"/>
        </left>
        <right style="medium">
          <color indexed="64"/>
        </right>
        <top style="medium">
          <color indexed="64"/>
        </top>
        <bottom style="medium">
          <color indexed="64"/>
        </bottom>
      </border>
    </dxf>
    <dxf>
      <alignment horizontal="left" vertical="bottom" textRotation="0" relativeIndent="1" justifyLastLine="0" shrinkToFit="0" readingOrder="0"/>
    </dxf>
    <dxf>
      <border outline="0">
        <bottom style="thin">
          <color auto="1"/>
        </bottom>
      </border>
    </dxf>
    <dxf>
      <alignment horizontal="left" vertical="bottom" textRotation="0" relativeIndent="1" justifyLastLine="0" shrinkToFit="0" readingOrder="0"/>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1" justifyLastLine="0" shrinkToFit="0" readingOrder="0"/>
      <border diagonalUp="0" diagonalDown="0" outline="0">
        <left style="thin">
          <color indexed="64"/>
        </left>
        <right style="thin">
          <color auto="1"/>
        </right>
        <top style="thin">
          <color auto="1"/>
        </top>
        <bottom/>
      </border>
    </dxf>
    <dxf>
      <alignment horizontal="left" vertical="bottom"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right style="thin">
          <color auto="1"/>
        </right>
        <top style="thin">
          <color auto="1"/>
        </top>
        <bottom/>
      </border>
    </dxf>
    <dxf>
      <alignment horizontal="left" vertical="bottom" textRotation="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alignment horizontal="left" vertical="bottom" textRotation="0" relativeIndent="1" justifyLastLine="0" shrinkToFit="0" readingOrder="0"/>
    </dxf>
    <dxf>
      <border outline="0">
        <left style="medium">
          <color indexed="64"/>
        </left>
        <right style="medium">
          <color indexed="64"/>
        </right>
        <top style="medium">
          <color indexed="64"/>
        </top>
        <bottom style="medium">
          <color indexed="64"/>
        </bottom>
      </border>
    </dxf>
    <dxf>
      <alignment horizontal="left" vertical="bottom" textRotation="0" relativeIndent="1" justifyLastLine="0" shrinkToFit="0" readingOrder="0"/>
    </dxf>
    <dxf>
      <border outline="0">
        <bottom style="thin">
          <color auto="1"/>
        </bottom>
      </border>
    </dxf>
    <dxf>
      <alignment horizontal="left" vertical="bottom" textRotation="0" relativeIndent="1" justifyLastLine="0" shrinkToFit="0" readingOrder="0"/>
      <border diagonalUp="0" diagonalDown="0" outline="0">
        <left style="thin">
          <color indexed="64"/>
        </left>
        <right style="thin">
          <color indexed="64"/>
        </right>
        <top/>
        <bottom/>
      </border>
    </dxf>
    <dxf>
      <alignment horizontal="left" vertical="bottom" textRotation="0" wrapText="0" indent="1" justifyLastLine="0" shrinkToFit="0" readingOrder="0"/>
      <border diagonalUp="0" diagonalDown="0" outline="0">
        <left style="thin">
          <color auto="1"/>
        </left>
        <right/>
        <top style="thin">
          <color auto="1"/>
        </top>
        <bottom/>
      </border>
    </dxf>
    <dxf>
      <alignment horizontal="left" vertical="bottom" textRotation="0" relativeIndent="1"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style="thin">
          <color indexed="64"/>
        </left>
        <right style="thin">
          <color auto="1"/>
        </right>
        <top style="thin">
          <color auto="1"/>
        </top>
        <bottom/>
      </border>
    </dxf>
    <dxf>
      <alignment horizontal="left" vertical="bottom" textRotation="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1" justifyLastLine="0" shrinkToFit="0" readingOrder="0"/>
      <border diagonalUp="0" diagonalDown="0" outline="0">
        <left style="thin">
          <color indexed="64"/>
        </left>
        <right style="thin">
          <color auto="1"/>
        </right>
        <top style="thin">
          <color auto="1"/>
        </top>
        <bottom/>
      </border>
    </dxf>
    <dxf>
      <alignment horizontal="left" vertical="bottom"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border diagonalUp="0" diagonalDown="0" outline="0">
        <left/>
        <right style="thin">
          <color auto="1"/>
        </right>
        <top style="thin">
          <color auto="1"/>
        </top>
        <bottom/>
      </border>
    </dxf>
    <dxf>
      <alignment horizontal="left" vertical="bottom" textRotation="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alignment horizontal="left" vertical="bottom" textRotation="0" relativeIndent="1" justifyLastLine="0" shrinkToFit="0" readingOrder="0"/>
    </dxf>
    <dxf>
      <border outline="0">
        <left style="medium">
          <color indexed="64"/>
        </left>
        <right style="medium">
          <color indexed="64"/>
        </right>
        <top style="medium">
          <color indexed="64"/>
        </top>
        <bottom style="medium">
          <color indexed="64"/>
        </bottom>
      </border>
    </dxf>
    <dxf>
      <alignment horizontal="left" vertical="bottom" textRotation="0" relativeIndent="1" justifyLastLine="0" shrinkToFit="0" readingOrder="0"/>
    </dxf>
    <dxf>
      <border outline="0">
        <bottom style="thin">
          <color auto="1"/>
        </bottom>
      </border>
    </dxf>
    <dxf>
      <alignment horizontal="left" vertical="bottom" textRotation="0" relativeIndent="1" justifyLastLine="0" shrinkToFit="0" readingOrder="0"/>
      <border diagonalUp="0" diagonalDown="0" outline="0">
        <left style="thin">
          <color indexed="64"/>
        </left>
        <right style="thin">
          <color indexed="64"/>
        </right>
        <top/>
        <bottom/>
      </border>
    </dxf>
    <dxf>
      <numFmt numFmtId="164" formatCode="#,##0.00\ &quot;€&quot;"/>
      <border diagonalUp="0" diagonalDown="0" outline="0">
        <left style="medium">
          <color indexed="64"/>
        </left>
        <right style="medium">
          <color indexed="64"/>
        </right>
        <top style="medium">
          <color indexed="64"/>
        </top>
        <bottom style="medium">
          <color indexed="64"/>
        </bottom>
      </border>
    </dxf>
    <dxf>
      <numFmt numFmtId="164" formatCode="#,##0.00\ &quot;€&quot;"/>
    </dxf>
    <dxf>
      <border diagonalUp="0" diagonalDown="0" outline="0">
        <left/>
        <right/>
        <top/>
        <bottom/>
      </border>
    </dxf>
    <dxf>
      <border diagonalUp="0" diagonalDown="0" outline="0">
        <left/>
        <right/>
        <top/>
        <bottom/>
      </border>
    </dxf>
    <dxf>
      <border diagonalUp="0" diagonalDown="0">
        <left style="medium">
          <color auto="1"/>
        </left>
        <right style="medium">
          <color auto="1"/>
        </right>
        <top style="medium">
          <color auto="1"/>
        </top>
        <bottom style="medium">
          <color auto="1"/>
        </bottom>
      </border>
    </dxf>
    <dxf>
      <alignment horizontal="general" vertical="center" textRotation="0" wrapText="0" indent="0" justifyLastLine="0" shrinkToFit="0" readingOrder="0"/>
    </dxf>
    <dxf>
      <numFmt numFmtId="164" formatCode="#,##0.00\ &quot;€&quot;"/>
      <border diagonalUp="0" diagonalDown="0" outline="0">
        <left style="medium">
          <color indexed="64"/>
        </left>
        <right style="medium">
          <color indexed="64"/>
        </right>
        <top style="medium">
          <color indexed="64"/>
        </top>
        <bottom style="medium">
          <color indexed="64"/>
        </bottom>
      </border>
    </dxf>
    <dxf>
      <numFmt numFmtId="164" formatCode="#,##0.00\ &quot;€&quot;"/>
    </dxf>
    <dxf>
      <border diagonalUp="0" diagonalDown="0" outline="0">
        <left/>
        <right/>
        <top/>
        <bottom/>
      </border>
    </dxf>
    <dxf>
      <border diagonalUp="0" diagonalDown="0" outline="0">
        <left/>
        <right/>
        <top/>
        <bottom/>
      </border>
    </dxf>
    <dxf>
      <border diagonalUp="0" diagonalDown="0">
        <left style="medium">
          <color auto="1"/>
        </left>
        <right style="medium">
          <color auto="1"/>
        </right>
        <top style="medium">
          <color auto="1"/>
        </top>
        <bottom style="medium">
          <color auto="1"/>
        </bottom>
      </border>
    </dxf>
    <dxf>
      <alignment horizontal="general" vertical="center" textRotation="0" wrapText="0" indent="0" justifyLastLine="0" shrinkToFit="0" readingOrder="0"/>
    </dxf>
    <dxf>
      <numFmt numFmtId="164" formatCode="#,##0.00\ &quot;€&quot;"/>
      <border diagonalUp="0" diagonalDown="0" outline="0">
        <left style="medium">
          <color theme="1"/>
        </left>
        <right style="medium">
          <color theme="1"/>
        </right>
        <top style="medium">
          <color theme="1"/>
        </top>
        <bottom style="medium">
          <color theme="1"/>
        </bottom>
      </border>
    </dxf>
    <dxf>
      <numFmt numFmtId="164" formatCode="#,##0.00\ &quot;€&quot;"/>
    </dxf>
    <dxf>
      <border diagonalUp="0" diagonalDown="0" outline="0">
        <left/>
        <right/>
        <top/>
        <bottom/>
      </border>
    </dxf>
    <dxf>
      <border diagonalUp="0" diagonalDown="0" outline="0">
        <left/>
        <right/>
        <top/>
        <bottom/>
      </border>
    </dxf>
    <dxf>
      <numFmt numFmtId="164" formatCode="#,##0.00\ &quot;€&quot;"/>
    </dxf>
    <dxf>
      <border diagonalUp="0" diagonalDown="0" outline="0">
        <left/>
        <right/>
        <top/>
        <bottom/>
      </border>
    </dxf>
    <dxf>
      <border diagonalUp="0" diagonalDown="0">
        <left style="medium">
          <color auto="1"/>
        </left>
        <right style="medium">
          <color auto="1"/>
        </right>
        <top style="medium">
          <color auto="1"/>
        </top>
        <bottom style="medium">
          <color auto="1"/>
        </bottom>
      </border>
    </dxf>
    <dxf>
      <alignment horizontal="general" vertical="center" textRotation="0" wrapText="0" indent="0" justifyLastLine="0" shrinkToFit="0" readingOrder="0"/>
    </dxf>
    <dxf>
      <numFmt numFmtId="164" formatCode="#,##0.00\ &quot;€&quot;"/>
      <border diagonalUp="0" diagonalDown="0" outline="0">
        <left style="medium">
          <color indexed="64"/>
        </left>
        <right style="medium">
          <color indexed="64"/>
        </right>
        <top style="medium">
          <color indexed="64"/>
        </top>
        <bottom style="medium">
          <color indexed="64"/>
        </bottom>
      </border>
    </dxf>
    <dxf>
      <numFmt numFmtId="164" formatCode="#,##0.00\ &quot;€&quot;"/>
    </dxf>
    <dxf>
      <border diagonalUp="0" diagonalDown="0" outline="0">
        <left/>
        <right/>
        <top/>
        <bottom/>
      </border>
    </dxf>
    <dxf>
      <border diagonalUp="0" diagonalDown="0" outline="0">
        <left/>
        <right/>
        <top/>
        <bottom/>
      </border>
    </dxf>
    <dxf>
      <border diagonalUp="0" diagonalDown="0">
        <left style="medium">
          <color auto="1"/>
        </left>
        <right style="medium">
          <color auto="1"/>
        </right>
        <top style="medium">
          <color auto="1"/>
        </top>
        <bottom style="medium">
          <color auto="1"/>
        </bottom>
      </border>
    </dxf>
    <dxf>
      <alignment horizontal="general" vertical="center" textRotation="0" wrapText="0" indent="0" justifyLastLine="0" shrinkToFit="0" readingOrder="0"/>
    </dxf>
    <dxf>
      <alignment horizontal="left" vertical="bottom" textRotation="0" wrapText="0" relativeIndent="1" justifyLastLine="0" shrinkToFit="0" readingOrder="0"/>
      <border diagonalUp="0" diagonalDown="0" outline="0">
        <left/>
        <right/>
        <top style="thin">
          <color auto="1"/>
        </top>
        <bottom style="thin">
          <color auto="1"/>
        </bottom>
      </border>
    </dxf>
    <dxf>
      <numFmt numFmtId="164" formatCode="#,##0.00\ &quot;€&quot;"/>
      <alignment horizontal="left" vertical="bottom" textRotation="0" wrapText="0" relativeIndent="1" justifyLastLine="0" shrinkToFit="0" readingOrder="0"/>
      <border diagonalUp="0" diagonalDown="0" outline="0">
        <left style="thin">
          <color auto="1"/>
        </left>
        <right/>
        <top style="thin">
          <color auto="1"/>
        </top>
        <bottom style="thin">
          <color auto="1"/>
        </bottom>
      </border>
    </dxf>
    <dxf>
      <numFmt numFmtId="164" formatCode="#,##0.00\ &quot;€&quot;"/>
      <alignment horizontal="right" vertical="bottom" textRotation="0" wrapText="0" indent="1"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medium">
          <color indexed="64"/>
        </left>
        <right style="medium">
          <color indexed="64"/>
        </right>
        <top style="medium">
          <color indexed="64"/>
        </top>
        <bottom style="medium">
          <color indexed="64"/>
        </bottom>
      </border>
    </dxf>
    <dxf>
      <alignment horizontal="left" vertical="bottom" textRotation="0" wrapText="0" relativeIndent="1" justifyLastLine="0" shrinkToFit="0" readingOrder="0"/>
    </dxf>
    <dxf>
      <border outline="0">
        <bottom style="thin">
          <color auto="1"/>
        </bottom>
      </border>
    </dxf>
    <dxf>
      <alignment horizontal="left" vertical="bottom" textRotation="0" wrapText="0" relativeIndent="1" justifyLastLine="0" shrinkToFit="0" readingOrder="0"/>
      <border diagonalUp="0" diagonalDown="0" outline="0">
        <left style="thin">
          <color indexed="64"/>
        </left>
        <right style="thin">
          <color indexed="64"/>
        </right>
        <top/>
        <bottom/>
      </border>
    </dxf>
    <dxf>
      <alignment horizontal="left" vertical="bottom" textRotation="0" wrapText="0" relativeIndent="1" justifyLastLine="0" shrinkToFit="0" readingOrder="0"/>
      <border diagonalUp="0" diagonalDown="0" outline="0">
        <left/>
        <right/>
        <top style="thin">
          <color auto="1"/>
        </top>
        <bottom style="thin">
          <color auto="1"/>
        </bottom>
      </border>
    </dxf>
    <dxf>
      <numFmt numFmtId="164" formatCode="#,##0.00\ &quot;€&quot;"/>
      <alignment horizontal="left" vertical="bottom" textRotation="0" wrapText="0" relativeIndent="1" justifyLastLine="0" shrinkToFit="0" readingOrder="0"/>
      <border diagonalUp="0" diagonalDown="0" outline="0">
        <left style="thin">
          <color auto="1"/>
        </left>
        <right/>
        <top style="thin">
          <color auto="1"/>
        </top>
        <bottom style="thin">
          <color auto="1"/>
        </bottom>
      </border>
    </dxf>
    <dxf>
      <numFmt numFmtId="164" formatCode="#,##0.00\ &quot;€&quot;"/>
      <alignment horizontal="right" vertical="bottom" textRotation="0" wrapText="0" indent="1"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medium">
          <color indexed="64"/>
        </left>
        <right style="medium">
          <color indexed="64"/>
        </right>
        <top style="medium">
          <color indexed="64"/>
        </top>
        <bottom style="medium">
          <color indexed="64"/>
        </bottom>
      </border>
    </dxf>
    <dxf>
      <alignment horizontal="left" vertical="bottom" textRotation="0" wrapText="0" relativeIndent="1" justifyLastLine="0" shrinkToFit="0" readingOrder="0"/>
    </dxf>
    <dxf>
      <border outline="0">
        <bottom style="thin">
          <color auto="1"/>
        </bottom>
      </border>
    </dxf>
    <dxf>
      <alignment horizontal="left" vertical="bottom" textRotation="0" wrapText="0" relativeIndent="1" justifyLastLine="0" shrinkToFit="0" readingOrder="0"/>
      <border diagonalUp="0" diagonalDown="0" outline="0">
        <left style="thin">
          <color indexed="64"/>
        </left>
        <right style="thin">
          <color indexed="64"/>
        </right>
        <top/>
        <bottom/>
      </border>
    </dxf>
    <dxf>
      <alignment horizontal="left" vertical="bottom" textRotation="0" wrapText="0" relativeIndent="1" justifyLastLine="0" shrinkToFit="0" readingOrder="0"/>
      <border diagonalUp="0" diagonalDown="0" outline="0">
        <left/>
        <right/>
        <top style="thin">
          <color auto="1"/>
        </top>
        <bottom style="thin">
          <color auto="1"/>
        </bottom>
      </border>
    </dxf>
    <dxf>
      <numFmt numFmtId="164" formatCode="#,##0.00\ &quot;€&quot;"/>
      <alignment horizontal="left" vertical="bottom" textRotation="0" wrapText="0" relativeIndent="1" justifyLastLine="0" shrinkToFit="0" readingOrder="0"/>
      <border diagonalUp="0" diagonalDown="0" outline="0">
        <left style="thin">
          <color auto="1"/>
        </left>
        <right/>
        <top style="thin">
          <color auto="1"/>
        </top>
        <bottom style="thin">
          <color auto="1"/>
        </bottom>
      </border>
    </dxf>
    <dxf>
      <numFmt numFmtId="164" formatCode="#,##0.00\ &quot;€&quot;"/>
      <alignment horizontal="right" vertical="bottom" textRotation="0" wrapText="0" indent="1"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medium">
          <color indexed="64"/>
        </left>
        <right style="medium">
          <color indexed="64"/>
        </right>
        <top style="medium">
          <color indexed="64"/>
        </top>
        <bottom style="medium">
          <color indexed="64"/>
        </bottom>
      </border>
    </dxf>
    <dxf>
      <alignment horizontal="left" vertical="bottom" textRotation="0" wrapText="0" relativeIndent="1" justifyLastLine="0" shrinkToFit="0" readingOrder="0"/>
    </dxf>
    <dxf>
      <border outline="0">
        <bottom style="thin">
          <color auto="1"/>
        </bottom>
      </border>
    </dxf>
    <dxf>
      <alignment horizontal="left" vertical="bottom" textRotation="0" wrapText="0" relativeIndent="1" justifyLastLine="0" shrinkToFit="0" readingOrder="0"/>
      <border diagonalUp="0" diagonalDown="0" outline="0">
        <left style="thin">
          <color indexed="64"/>
        </left>
        <right style="thin">
          <color indexed="64"/>
        </right>
        <top/>
        <bottom/>
      </border>
    </dxf>
    <dxf>
      <alignment horizontal="left" vertical="bottom" textRotation="0" wrapText="0" relativeIndent="1" justifyLastLine="0" shrinkToFit="0" readingOrder="0"/>
      <border diagonalUp="0" diagonalDown="0" outline="0">
        <left/>
        <right/>
        <top style="thin">
          <color auto="1"/>
        </top>
        <bottom style="thin">
          <color auto="1"/>
        </bottom>
      </border>
    </dxf>
    <dxf>
      <numFmt numFmtId="164" formatCode="#,##0.00\ &quot;€&quot;"/>
      <alignment horizontal="left" vertical="bottom" textRotation="0" wrapText="0" relativeIndent="1" justifyLastLine="0" shrinkToFit="0" readingOrder="0"/>
      <border diagonalUp="0" diagonalDown="0" outline="0">
        <left style="thin">
          <color auto="1"/>
        </left>
        <right/>
        <top style="thin">
          <color auto="1"/>
        </top>
        <bottom style="thin">
          <color auto="1"/>
        </bottom>
      </border>
    </dxf>
    <dxf>
      <numFmt numFmtId="164" formatCode="#,##0.00\ &quot;€&quot;"/>
      <alignment horizontal="right" vertical="bottom" textRotation="0" wrapText="0" indent="1"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medium">
          <color indexed="64"/>
        </left>
        <right style="medium">
          <color indexed="64"/>
        </right>
        <top style="medium">
          <color indexed="64"/>
        </top>
        <bottom style="medium">
          <color indexed="64"/>
        </bottom>
      </border>
    </dxf>
    <dxf>
      <alignment horizontal="left" vertical="bottom" textRotation="0" wrapText="0" relativeIndent="1" justifyLastLine="0" shrinkToFit="0" readingOrder="0"/>
    </dxf>
    <dxf>
      <border outline="0">
        <bottom style="thin">
          <color auto="1"/>
        </bottom>
      </border>
    </dxf>
    <dxf>
      <alignment horizontal="left" vertical="bottom" textRotation="0" wrapText="0" relativeIndent="1" justifyLastLine="0" shrinkToFit="0" readingOrder="0"/>
      <border diagonalUp="0" diagonalDown="0" outline="0">
        <left style="thin">
          <color indexed="64"/>
        </left>
        <right style="thin">
          <color indexed="64"/>
        </right>
        <top/>
        <bottom/>
      </border>
    </dxf>
    <dxf>
      <alignment horizontal="left" vertical="bottom" textRotation="0" wrapText="0" relativeIndent="1" justifyLastLine="0" shrinkToFit="0" readingOrder="0"/>
      <border diagonalUp="0" diagonalDown="0" outline="0">
        <left/>
        <right/>
        <top style="thin">
          <color auto="1"/>
        </top>
        <bottom style="thin">
          <color auto="1"/>
        </bottom>
      </border>
    </dxf>
    <dxf>
      <numFmt numFmtId="164" formatCode="#,##0.00\ &quot;€&quot;"/>
      <alignment horizontal="left" vertical="bottom" textRotation="0" wrapText="0" relativeIndent="1" justifyLastLine="0" shrinkToFit="0" readingOrder="0"/>
      <border diagonalUp="0" diagonalDown="0" outline="0">
        <left style="thin">
          <color auto="1"/>
        </left>
        <right/>
        <top style="thin">
          <color auto="1"/>
        </top>
        <bottom style="thin">
          <color auto="1"/>
        </bottom>
      </border>
    </dxf>
    <dxf>
      <numFmt numFmtId="164" formatCode="#,##0.00\ &quot;€&quot;"/>
      <alignment horizontal="right" vertical="bottom" textRotation="0" wrapText="0" indent="1"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relativeIndent="1"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medium">
          <color indexed="64"/>
        </left>
        <right style="medium">
          <color indexed="64"/>
        </right>
        <top style="medium">
          <color indexed="64"/>
        </top>
        <bottom style="medium">
          <color indexed="64"/>
        </bottom>
      </border>
    </dxf>
    <dxf>
      <alignment horizontal="left" vertical="bottom" textRotation="0" wrapText="0" relativeIndent="1" justifyLastLine="0" shrinkToFit="0" readingOrder="0"/>
    </dxf>
    <dxf>
      <border outline="0">
        <bottom style="thin">
          <color auto="1"/>
        </bottom>
      </border>
    </dxf>
    <dxf>
      <alignment horizontal="left" vertical="bottom" textRotation="0" wrapText="0" relativeIndent="1"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1"/>
        <color theme="10"/>
        <name val="Calibri"/>
        <family val="2"/>
        <scheme val="minor"/>
      </font>
      <numFmt numFmtId="164" formatCode="#,##0.00\ &quot;€&quot;"/>
      <alignment horizontal="general" vertical="bottom" textRotation="0" wrapText="1" indent="0" justifyLastLine="0" shrinkToFit="0" readingOrder="0"/>
      <border diagonalUp="0" diagonalDown="0" outline="0">
        <left style="thin">
          <color indexed="64"/>
        </left>
        <right style="thin">
          <color auto="1"/>
        </right>
        <top style="thin">
          <color auto="1"/>
        </top>
        <bottom/>
      </border>
    </dxf>
    <dxf>
      <alignment textRotation="0" wrapText="1"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ertAlign val="baseline"/>
        <sz val="11"/>
        <color theme="10"/>
        <name val="Calibri"/>
        <family val="2"/>
        <scheme val="minor"/>
      </font>
      <numFmt numFmtId="164" formatCode="#,##0.00\ &quot;€&quot;"/>
      <alignment horizontal="general" vertical="bottom" textRotation="0" wrapText="1" indent="0" justifyLastLine="0" shrinkToFit="0" readingOrder="0"/>
      <border diagonalUp="0" diagonalDown="0" outline="0">
        <left style="thin">
          <color indexed="64"/>
        </left>
        <right style="thin">
          <color auto="1"/>
        </right>
        <top style="thin">
          <color auto="1"/>
        </top>
        <bottom/>
      </border>
    </dxf>
    <dxf>
      <alignment textRotation="0" wrapText="1"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ertAlign val="baseline"/>
        <sz val="11"/>
        <color theme="10"/>
        <name val="Calibri"/>
        <family val="2"/>
        <scheme val="minor"/>
      </font>
      <numFmt numFmtId="164" formatCode="#,##0.00\ &quot;€&quot;"/>
      <alignment horizontal="general" vertical="bottom" textRotation="0" wrapText="1" indent="0" justifyLastLine="0" shrinkToFit="0" readingOrder="0"/>
      <border diagonalUp="0" diagonalDown="0" outline="0">
        <left/>
        <right style="thin">
          <color auto="1"/>
        </right>
        <top style="thin">
          <color auto="1"/>
        </top>
        <bottom/>
      </border>
    </dxf>
    <dxf>
      <alignment textRotation="0" wrapText="1"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right" vertical="bottom" textRotation="0" wrapText="1" indent="0" justifyLastLine="0" shrinkToFit="0" readingOrder="0"/>
      <border diagonalUp="0" diagonalDown="0" outline="0">
        <left style="medium">
          <color indexed="64"/>
        </left>
        <right style="medium">
          <color indexed="64"/>
        </right>
        <top style="thin">
          <color auto="1"/>
        </top>
        <bottom style="medium">
          <color indexed="64"/>
        </bottom>
      </border>
    </dxf>
    <dxf>
      <alignment textRotation="0" wrapText="1" justifyLastLine="0" shrinkToFit="0" readingOrder="0"/>
      <border diagonalUp="0" diagonalDown="0">
        <left style="medium">
          <color indexed="64"/>
        </left>
        <right style="medium">
          <color indexed="64"/>
        </right>
        <top style="thin">
          <color auto="1"/>
        </top>
        <bottom style="thin">
          <color auto="1"/>
        </bottom>
        <vertical/>
        <horizontal style="thin">
          <color auto="1"/>
        </horizontal>
      </border>
    </dxf>
    <dxf>
      <border>
        <top style="thin">
          <color auto="1"/>
        </top>
      </border>
    </dxf>
    <dxf>
      <border diagonalUp="0" diagonalDown="0">
        <left style="medium">
          <color indexed="64"/>
        </left>
        <right style="medium">
          <color indexed="64"/>
        </right>
        <top style="medium">
          <color indexed="64"/>
        </top>
        <bottom style="medium">
          <color indexed="64"/>
        </bottom>
      </border>
    </dxf>
    <dxf>
      <alignment textRotation="0" wrapText="1" justifyLastLine="0" shrinkToFit="0" readingOrder="0"/>
    </dxf>
    <dxf>
      <border>
        <bottom style="thin">
          <color auto="1"/>
        </bottom>
      </border>
    </dxf>
    <dxf>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164" formatCode="#,##0.00\ &quot;€&quot;"/>
      <fill>
        <patternFill patternType="solid">
          <fgColor indexed="64"/>
          <bgColor theme="9" tint="0.79998168889431442"/>
        </patternFill>
      </fill>
      <border diagonalUp="0" diagonalDown="0">
        <left style="thin">
          <color indexed="64"/>
        </left>
        <right style="medium">
          <color indexed="64"/>
        </right>
        <top style="thin">
          <color indexed="64"/>
        </top>
        <bottom/>
        <vertical/>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theme="9" tint="0.79998168889431442"/>
        </patternFill>
      </fill>
      <border diagonalUp="0" diagonalDown="0" outline="0">
        <left style="thin">
          <color indexed="64"/>
        </left>
        <right style="thin">
          <color indexed="64"/>
        </right>
        <top/>
        <bottom/>
      </border>
    </dxf>
    <dxf>
      <numFmt numFmtId="164" formatCode="#,##0.00\ &quot;€&quot;"/>
      <fill>
        <patternFill patternType="solid">
          <fgColor indexed="64"/>
          <bgColor theme="9" tint="0.79998168889431442"/>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none">
          <fgColor indexed="64"/>
          <bgColor indexed="65"/>
        </patternFill>
      </fill>
      <border diagonalUp="0" diagonalDown="0">
        <left style="thin">
          <color indexed="64"/>
        </left>
        <right style="thin">
          <color indexed="64"/>
        </right>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numFmt numFmtId="164" formatCode="#,##0.00\ &quot;€&quot;"/>
      <fill>
        <patternFill patternType="solid">
          <fgColor indexed="64"/>
          <bgColor rgb="FFFFCCCC"/>
        </patternFill>
      </fill>
      <border diagonalUp="0" diagonalDown="0" outline="0">
        <left style="thin">
          <color indexed="64"/>
        </left>
        <right style="thin">
          <color indexed="64"/>
        </right>
        <top/>
        <bottom/>
      </border>
    </dxf>
    <dxf>
      <numFmt numFmtId="164" formatCode="#,##0.00\ &quot;€&quot;"/>
      <fill>
        <patternFill patternType="solid">
          <fgColor indexed="64"/>
          <bgColor rgb="FFFFCCCC"/>
        </patternFill>
      </fill>
      <border diagonalUp="0" diagonalDown="0">
        <left style="thin">
          <color indexed="64"/>
        </left>
        <right style="thin">
          <color indexed="64"/>
        </right>
        <top style="thin">
          <color indexed="64"/>
        </top>
        <bottom/>
        <vertical/>
        <horizontal/>
      </border>
    </dxf>
    <dxf>
      <alignment horizontal="right" vertical="bottom" textRotation="0" wrapText="1" indent="0" justifyLastLine="0" shrinkToFit="0" readingOrder="0"/>
      <border diagonalUp="0" diagonalDown="0" outline="0">
        <left style="medium">
          <color indexed="64"/>
        </left>
        <right style="thin">
          <color indexed="64"/>
        </right>
        <top/>
        <bottom/>
      </border>
    </dxf>
    <dxf>
      <alignment horizontal="general" vertical="bottom" textRotation="0" wrapText="1" indent="0" justifyLastLine="0" shrinkToFit="0" readingOrder="0"/>
      <border diagonalUp="0" diagonalDown="0">
        <left style="medium">
          <color indexed="64"/>
        </left>
        <right style="thin">
          <color indexed="64"/>
        </right>
        <top style="thin">
          <color indexed="64"/>
        </top>
        <bottom/>
        <vertical/>
        <horizontal/>
      </border>
    </dxf>
    <dxf>
      <border outline="0">
        <bottom style="medium">
          <color indexed="64"/>
        </bottom>
      </border>
    </dxf>
    <dxf>
      <fill>
        <patternFill patternType="solid">
          <fgColor indexed="64"/>
          <bgColor theme="9" tint="0.79998168889431442"/>
        </patternFill>
      </fill>
    </dxf>
    <dxf>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bottom/>
      </border>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numFmt numFmtId="164" formatCode="#,##0.00\ &quot;€&quot;"/>
    </dxf>
    <dxf>
      <font>
        <strike val="0"/>
        <outline val="0"/>
        <shadow val="0"/>
        <u val="none"/>
        <vertAlign val="subscript"/>
        <sz val="8"/>
        <color theme="0"/>
        <name val="Calibri"/>
        <family val="2"/>
        <scheme val="minor"/>
      </font>
      <numFmt numFmtId="0" formatCode="General"/>
    </dxf>
    <dxf>
      <alignment horizontal="right" vertical="bottom" textRotation="0" wrapText="0" justifyLastLine="0" shrinkToFit="0" readingOrder="0"/>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752474</xdr:colOff>
      <xdr:row>16</xdr:row>
      <xdr:rowOff>161926</xdr:rowOff>
    </xdr:from>
    <xdr:to>
      <xdr:col>13</xdr:col>
      <xdr:colOff>19049</xdr:colOff>
      <xdr:row>23</xdr:row>
      <xdr:rowOff>171451</xdr:rowOff>
    </xdr:to>
    <xdr:sp macro="" textlink="">
      <xdr:nvSpPr>
        <xdr:cNvPr id="2" name="Textfeld 1">
          <a:extLst>
            <a:ext uri="{FF2B5EF4-FFF2-40B4-BE49-F238E27FC236}">
              <a16:creationId xmlns:a16="http://schemas.microsoft.com/office/drawing/2014/main" id="{82EAA4BF-53CA-D316-85C2-533AC648E92D}"/>
            </a:ext>
          </a:extLst>
        </xdr:cNvPr>
        <xdr:cNvSpPr txBox="1"/>
      </xdr:nvSpPr>
      <xdr:spPr>
        <a:xfrm>
          <a:off x="11696699" y="3752851"/>
          <a:ext cx="4219575"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Der variablen Aufwandsentschädigung liegt die Abgeltung von Reiseaufwand der Mandatsträger*innen</a:t>
          </a:r>
          <a:r>
            <a:rPr lang="de-DE" sz="1100" baseline="0"/>
            <a:t> zugrunde, welcher durch die notwendigen Anreisen oder die Nutzung eigenen Arbeitsgeräts oder eigener Räumlichkeiten entsteht, ebenso sind hierdurch sonstige Mandatswahrnehmungsaufwendungen abgedeckt. Sofern es sich nur um notwendige physische Anreisen handelt, so ist der Reiseaufwand auf max. 50 € pro Tag beschränkt. </a:t>
          </a:r>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dde/Desktop/Haushalt%20Wiwi%20ne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edde/Downloads/Auswertungen_neuer_Haushaltplan_AStA_FeU_Hagen_HHJ_22_23_Okt_22_bis_Sep_2023.xlsx" TargetMode="External"/><Relationship Id="rId1" Type="http://schemas.openxmlformats.org/officeDocument/2006/relationships/externalLinkPath" Target="file:///C:/Users/fedde/Downloads/Auswertungen_neuer_Haushaltplan_AStA_FeU_Hagen_HHJ_22_23_Okt_22_bis_Sep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Wi"/>
    </sheetNames>
    <sheetDataSet>
      <sheetData sheetId="0" refreshError="1">
        <row r="5">
          <cell r="E5">
            <v>56381</v>
          </cell>
          <cell r="G5">
            <v>23000</v>
          </cell>
        </row>
        <row r="6">
          <cell r="G6">
            <v>0</v>
          </cell>
        </row>
        <row r="7">
          <cell r="G7">
            <v>0</v>
          </cell>
        </row>
        <row r="11">
          <cell r="G11">
            <v>10400</v>
          </cell>
        </row>
        <row r="12">
          <cell r="G12">
            <v>14000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aushalt"/>
      <sheetName val="HHJ_2021_2022"/>
      <sheetName val="HHJ_2022_2023"/>
      <sheetName val="Aufwandsentschädigungen"/>
      <sheetName val="Stellenplan"/>
      <sheetName val="Mieten und Lizenzen"/>
      <sheetName val="Anschaffungsplan+BHS"/>
      <sheetName val="Referatspläne"/>
      <sheetName val="Leistungen Dritter"/>
      <sheetName val="WiWi"/>
      <sheetName val="KSW"/>
      <sheetName val="PSY"/>
      <sheetName val="ReWi"/>
      <sheetName val="M_I"/>
      <sheetName val="Auswertungen_neuer_Haushalt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AEFAA4-9036-4DD7-A64D-A1514B50A18B}" name="Tabelle1" displayName="Tabelle1" ref="A5:O282" totalsRowShown="0" headerRowDxfId="1292">
  <autoFilter ref="A5:O282" xr:uid="{3AFBB273-711C-4D5C-B957-385EE8EC342B}"/>
  <tableColumns count="15">
    <tableColumn id="1" xr3:uid="{8D18CEA1-4079-464B-A8DE-68520D9B050D}" name="Titel" dataDxfId="1291"/>
    <tableColumn id="10" xr3:uid="{EF2D33E7-1E18-48C6-80B3-742584339793}" name="Spalte1" dataDxfId="1290">
      <calculatedColumnFormula>ROW(B1)</calculatedColumnFormula>
    </tableColumn>
    <tableColumn id="2" xr3:uid="{E278AF58-DC98-433A-B77D-71DF047DA1BD}" name="Titel alt"/>
    <tableColumn id="3" xr3:uid="{D06858BA-C255-4A27-87BC-7BAF0A57749B}" name="Kontenbezeichnung"/>
    <tableColumn id="13" xr3:uid="{0E16A444-E08A-4F94-A9AA-3299FC868E70}" name="SOLL HHJ 23-24"/>
    <tableColumn id="14" xr3:uid="{80DE9B6E-7E96-4AB1-B340-C94B45FBD622}" name="IST HHJ 22-23 "/>
    <tableColumn id="24" xr3:uid="{FD366873-5353-4FF3-974A-4C386A61866A}" name="SOLL HHJ 22-23"/>
    <tableColumn id="4" xr3:uid="{C85A20BC-75B6-4E7F-B59D-4413A485BF9A}" name="SOLL HHJ 21-22" dataDxfId="1289"/>
    <tableColumn id="8" xr3:uid="{FD7DA2AA-4404-4420-8694-42E90A394589}" name="IST HHJ 21-22" dataDxfId="1288"/>
    <tableColumn id="7" xr3:uid="{F7EADBCE-2246-4AAB-8A88-1DAB46ED36E8}" name="SOLL 20-21" dataDxfId="1287"/>
    <tableColumn id="6" xr3:uid="{A08F3D7A-2A77-4417-8668-D699D26B82EB}" name="IST 20-21" dataDxfId="1286"/>
    <tableColumn id="11" xr3:uid="{3F955C00-E799-40CB-9B26-2D627DA1AAE6}" name="IST HHJ 22-23_x000a_31.10.2022" dataDxfId="1285">
      <calculatedColumnFormula>SUBTOTAL(9,L7:L8)</calculatedColumnFormula>
    </tableColumn>
    <tableColumn id="5" xr3:uid="{B2247250-841A-4C33-BDC0-1EAFFB3683EF}" name="IST HHJ 22-23_x000a_30.11.2022" dataDxfId="1284"/>
    <tableColumn id="12" xr3:uid="{AC5741B7-7C81-4783-9A58-A89E1FCCE550}" name="IST HHJ 22-23_x000a_15.12.2022"/>
    <tableColumn id="9" xr3:uid="{201FAC62-F938-40B3-8370-FCDE8286C01C}" name="Spalte2" dataDxfId="1283"/>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A491D33-F309-4C2B-B070-7BE394530B9F}" name="Tabelle20" displayName="Tabelle20" ref="A20:D33" totalsRowCount="1" headerRowDxfId="1169" tableBorderDxfId="1168">
  <autoFilter ref="A20:D32" xr:uid="{E2E0290D-F96D-4F26-8B73-45355808F552}"/>
  <tableColumns count="4">
    <tableColumn id="1" xr3:uid="{1B393D33-E7AB-4AB2-8C57-3B56D85FC957}" name="Muster" totalsRowLabel="Ergebnis" totalsRowDxfId="1167"/>
    <tableColumn id="2" xr3:uid="{0EBD21F4-16D9-4800-9CE4-5160224080D1}" name="AE" dataDxfId="1166" totalsRowDxfId="1165"/>
    <tableColumn id="3" xr3:uid="{E3CE8B4E-22FD-435E-818D-EB566068139D}" name="Anzahl" totalsRowDxfId="1164"/>
    <tableColumn id="4" xr3:uid="{54DE97B9-75A2-4E45-8563-F90D03143412}" name="Gesamt:" totalsRowFunction="sum" dataDxfId="1163" totalsRowDxfId="1162"/>
  </tableColumns>
  <tableStyleInfo name="TableStyleLight1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DFA22165-5093-4F84-93AC-3EB96223EE59}" name="Tabelle1959" displayName="Tabelle1959" ref="F3:H15" totalsRowCount="1" headerRowDxfId="1161" tableBorderDxfId="1160">
  <autoFilter ref="F3:H14" xr:uid="{6EAFE58A-EBB5-4FE2-942F-DA175743F921}"/>
  <tableColumns count="3">
    <tableColumn id="1" xr3:uid="{4980DA0B-0DF0-4E62-A008-3B242054C5E4}" name="Empfänger" totalsRowLabel="Ergebnis" totalsRowDxfId="1159"/>
    <tableColumn id="2" xr3:uid="{C9E7F9CB-8B6F-4708-80C6-9818D348053F}" name="Art" totalsRowDxfId="1158"/>
    <tableColumn id="3" xr3:uid="{E14AB605-ABEE-4C6B-9570-B1716FED7036}" name="Höhe p.A." totalsRowFunction="sum" dataDxfId="1157" totalsRowDxfId="1156"/>
  </tableColumns>
  <tableStyleInfo name="TableStyleLight1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B5756E3-7EB3-4E9F-ABE4-E9EAB3E0BB53}" name="Tabelle19595" displayName="Tabelle19595" ref="K3:M15" totalsRowCount="1" headerRowDxfId="1155" tableBorderDxfId="1154">
  <autoFilter ref="K3:M14" xr:uid="{BB5756E3-7EB3-4E9F-ABE4-E9EAB3E0BB53}"/>
  <tableColumns count="3">
    <tableColumn id="1" xr3:uid="{64D9D8FD-99A0-499F-B7F4-2B40648CD2C4}" name="Empfänger" totalsRowLabel="Ergebnis" totalsRowDxfId="1153"/>
    <tableColumn id="2" xr3:uid="{C04629AE-17A8-4780-9322-7B2E795C069B}" name="Art" totalsRowDxfId="1152"/>
    <tableColumn id="3" xr3:uid="{5341E119-FBA3-4A35-B2FB-5120940C870E}" name="Höhe p.A." totalsRowFunction="sum" dataDxfId="1151" totalsRowDxfId="1150"/>
  </tableColumns>
  <tableStyleInfo name="TableStyleLight1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6656226-AF84-4B24-A89E-8CC0BE804410}" name="Tabelle16" displayName="Tabelle16" ref="A5:E12" totalsRowCount="1" headerRowDxfId="1149" dataDxfId="1147" totalsRowDxfId="1145" headerRowBorderDxfId="1148" tableBorderDxfId="1146" totalsRowBorderDxfId="1144">
  <autoFilter ref="A5:E11" xr:uid="{20A03C3C-1084-440B-A2AE-603FA4F52D6B}"/>
  <tableColumns count="5">
    <tableColumn id="1" xr3:uid="{5E464D8B-A730-403C-AE0E-FE029471E267}" name="Vertrag Nr." totalsRowLabel="Gesamt" dataDxfId="1143" totalsRowDxfId="1142"/>
    <tableColumn id="2" xr3:uid="{F4D6686E-2619-4535-9B5A-52DD69591258}" name="Vertragsinhalt" dataDxfId="1141" totalsRowDxfId="1140"/>
    <tableColumn id="3" xr3:uid="{EE555D28-47B7-4B8D-92D2-261E14783E1B}" name="Vertragspartner" dataDxfId="1139" totalsRowDxfId="1138"/>
    <tableColumn id="4" xr3:uid="{AFFD140A-E1CB-4C9D-B273-EA5438519E8D}" name="Beträge/Budget" totalsRowFunction="sum" dataDxfId="1137" totalsRowDxfId="1136" dataCellStyle="Währung" totalsRowCellStyle="Währung"/>
    <tableColumn id="5" xr3:uid="{658E6EA1-70C8-4CCF-A6BF-59D018D36C14}" name="Laufzeit" dataDxfId="1135" totalsRowDxfId="1134"/>
  </tableColumns>
  <tableStyleInfo name="TableStyleLight1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3A666EC-76E9-4906-BD69-E52AEAA388B2}" name="Tabelle17" displayName="Tabelle17" ref="A17:E24" totalsRowCount="1" headerRowDxfId="1133" dataDxfId="1131" totalsRowDxfId="1129" headerRowBorderDxfId="1132" tableBorderDxfId="1130" totalsRowBorderDxfId="1128">
  <autoFilter ref="A17:E23" xr:uid="{67F5AE40-5E99-4177-9E89-6203FC475B73}"/>
  <tableColumns count="5">
    <tableColumn id="1" xr3:uid="{E06C5A80-80E7-483A-8EE3-E800B6EDD5EA}" name="Lizenz-Nr." totalsRowLabel="Gesamt" dataDxfId="1127" totalsRowDxfId="1126"/>
    <tableColumn id="2" xr3:uid="{C8A83697-5956-4B3B-8925-8BA00D3C664C}" name="Lizenzinhalt" dataDxfId="1125" totalsRowDxfId="1124"/>
    <tableColumn id="3" xr3:uid="{B30EED05-C0E6-4B1D-B048-EFB70F2FBA48}" name="Lizenzgeber" dataDxfId="1123" totalsRowDxfId="1122"/>
    <tableColumn id="4" xr3:uid="{54DD3B00-F0D6-4422-92BF-02B2C705A105}" name="Beträge/Budget" totalsRowFunction="sum" dataDxfId="1121" totalsRowDxfId="1120" dataCellStyle="Währung" totalsRowCellStyle="Währung"/>
    <tableColumn id="5" xr3:uid="{A1AE2463-0F5B-42E0-ADBA-E6BB2E2355F5}" name="Laufzeit" dataDxfId="1119" totalsRowDxfId="1118"/>
  </tableColumns>
  <tableStyleInfo name="TableStyleLight1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89A95D2-9BC9-4979-BB81-869ED74B2241}" name="Tabelle166" displayName="Tabelle166" ref="G5:K12" totalsRowCount="1" headerRowDxfId="1117" dataDxfId="1115" totalsRowDxfId="1113" headerRowBorderDxfId="1116" tableBorderDxfId="1114" totalsRowBorderDxfId="1112">
  <autoFilter ref="G5:K11" xr:uid="{089A95D2-9BC9-4979-BB81-869ED74B2241}"/>
  <tableColumns count="5">
    <tableColumn id="1" xr3:uid="{37E98E6E-ED1D-4B32-84AB-3FE1E33B1B89}" name="Vertrag Nr." totalsRowLabel="Gesamt" dataDxfId="1111" totalsRowDxfId="1110"/>
    <tableColumn id="2" xr3:uid="{B244E3C1-8897-4F21-866B-57A11C1BA081}" name="Vertragsinhalt" dataDxfId="1109" totalsRowDxfId="1108"/>
    <tableColumn id="3" xr3:uid="{AC72B622-F069-451D-B1A1-3A97F04436FE}" name="Vertragspartner" dataDxfId="1107" totalsRowDxfId="1106"/>
    <tableColumn id="4" xr3:uid="{66DE311E-24C5-4CAF-8C94-DF1881C58597}" name="Beträge/Budget" totalsRowFunction="sum" dataDxfId="1105" totalsRowDxfId="1104" dataCellStyle="Währung" totalsRowCellStyle="Währung"/>
    <tableColumn id="5" xr3:uid="{9D62016F-9689-4ED0-9DBF-865110EFC12F}" name="Laufzeit" dataDxfId="1103" totalsRowDxfId="1102"/>
  </tableColumns>
  <tableStyleInfo name="TableStyleLight1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78F0FE-71F4-422F-B19B-72A93455B54C}" name="Tabelle177" displayName="Tabelle177" ref="G17:K24" totalsRowCount="1" headerRowDxfId="1101" dataDxfId="1099" totalsRowDxfId="1097" headerRowBorderDxfId="1100" tableBorderDxfId="1098" totalsRowBorderDxfId="1096">
  <autoFilter ref="G17:K23" xr:uid="{B578F0FE-71F4-422F-B19B-72A93455B54C}"/>
  <tableColumns count="5">
    <tableColumn id="1" xr3:uid="{9AB4390A-CA0E-43E1-9084-D465C977AAA8}" name="Lizenz-Nr." totalsRowLabel="Gesamt" dataDxfId="1095" totalsRowDxfId="1094"/>
    <tableColumn id="2" xr3:uid="{C42EACB4-BB13-4C0A-B395-02987042DA50}" name="Lizenzinhalt" dataDxfId="1093" totalsRowDxfId="1092"/>
    <tableColumn id="3" xr3:uid="{B1059C8C-5D7D-4EDE-90D4-887C2E2A12B0}" name="Lizenzgeber" dataDxfId="1091" totalsRowDxfId="1090"/>
    <tableColumn id="4" xr3:uid="{0A7A88F1-A511-4410-9DF0-F97769C692E0}" name="Beträge/Budget" totalsRowFunction="sum" dataDxfId="1089" totalsRowDxfId="1088" dataCellStyle="Währung"/>
    <tableColumn id="5" xr3:uid="{2F8E018C-29F1-4C11-83E1-D2CBDBD96B4B}" name="Laufzeit" dataDxfId="1087" totalsRowDxfId="1086"/>
  </tableColumns>
  <tableStyleInfo name="TableStyleLight1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5DF3E5-0708-4F5F-B6AF-CC7D3476A3B1}" name="Tabelle2" displayName="Tabelle2" ref="K13:N19" totalsRowCount="1" headerRowDxfId="1085" headerRowBorderDxfId="1084" tableBorderDxfId="1083" totalsRowBorderDxfId="1082">
  <autoFilter ref="K13:N18" xr:uid="{44DB6213-0801-4D96-B96A-A7BE0A197783}"/>
  <tableColumns count="4">
    <tableColumn id="1" xr3:uid="{C6B11732-5398-443B-A36C-A713A707DC6E}" name="Nr." totalsRowLabel="Gesamt" totalsRowDxfId="1081"/>
    <tableColumn id="2" xr3:uid="{34C30ACC-F709-4C36-BAD1-4126D072781B}" name="Betrag" totalsRowFunction="sum" dataDxfId="1080" totalsRowDxfId="1079"/>
    <tableColumn id="3" xr3:uid="{B3B0D5A9-FE42-4647-8916-AE97AA4C106F}" name="Was?" dataDxfId="1078" totalsRowDxfId="1077"/>
    <tableColumn id="4" xr3:uid="{B4FF70EC-DCDE-428F-821D-FB63123D6DBE}" name="Begründung" totalsRowFunction="count" dataDxfId="1076" totalsRowDxfId="1075"/>
  </tableColumns>
  <tableStyleInfo name="TableStyleLight1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F87A739-C4CD-4382-A84B-748A9A5FDE24}" name="Tabelle28" displayName="Tabelle28" ref="K4:N10" totalsRowCount="1" headerRowDxfId="1074" headerRowBorderDxfId="1073" tableBorderDxfId="1072" totalsRowBorderDxfId="1071">
  <autoFilter ref="K4:N9" xr:uid="{7775FBC2-69E5-4958-B528-05968C175ACF}"/>
  <tableColumns count="4">
    <tableColumn id="1" xr3:uid="{1B9ECE7E-69B3-494E-A768-D224A63013FF}" name="Nr." totalsRowLabel="Gesamt" totalsRowDxfId="1070"/>
    <tableColumn id="2" xr3:uid="{228EB120-25E7-41DF-9297-2368697CA67A}" name="Betrag" totalsRowFunction="sum" dataDxfId="1069" totalsRowDxfId="1068"/>
    <tableColumn id="3" xr3:uid="{9AE4D232-A5AE-4C4D-BEFB-DC5CEDD32D54}" name="Was?" dataDxfId="1067" totalsRowDxfId="1066"/>
    <tableColumn id="4" xr3:uid="{C629EAA5-6FC9-463D-98C1-8FFE14E6D2C1}" name="Begründung" totalsRowFunction="count" dataDxfId="1065" totalsRowDxfId="1064"/>
  </tableColumns>
  <tableStyleInfo name="TableStyleLight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A74ACFC-6AF9-4F48-9A2F-19080B35620D}" name="Tabelle2111216" displayName="Tabelle2111216" ref="K22:N28" totalsRowCount="1" headerRowDxfId="1063" headerRowBorderDxfId="1062" tableBorderDxfId="1061" totalsRowBorderDxfId="1060">
  <autoFilter ref="K22:N27" xr:uid="{CC1CFD78-BF7F-47C8-8D83-929E6C0EE03B}"/>
  <tableColumns count="4">
    <tableColumn id="1" xr3:uid="{0C7AD18B-E7CA-4D92-B933-3C2BCFA176C0}" name="Nr." totalsRowLabel="Gesamt" totalsRowDxfId="1059"/>
    <tableColumn id="2" xr3:uid="{6A318C31-CE25-49D8-812B-DF98A661B189}" name="Betrag" totalsRowFunction="sum" dataDxfId="1058" totalsRowDxfId="1057"/>
    <tableColumn id="3" xr3:uid="{B26297C8-5780-4AF2-BBC6-1782B12C3664}" name="Was?" dataDxfId="1056" totalsRowDxfId="1055"/>
    <tableColumn id="4" xr3:uid="{845E7694-0AE0-4B4D-8280-885FB2FC0A9C}" name="Begründung" totalsRowFunction="count" dataDxfId="1054" totalsRowDxfId="1053"/>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693273-7DE6-40EE-9331-9A74C2CF782C}" name="Tabelle8" displayName="Tabelle8" ref="A8:R118" totalsRowCount="1" headerRowDxfId="1282" dataDxfId="1281" tableBorderDxfId="1280">
  <autoFilter ref="A8:R117" xr:uid="{6D7EB427-8D51-49AE-B46D-51C0126A1D03}"/>
  <tableColumns count="18">
    <tableColumn id="1" xr3:uid="{F9F9C639-891C-4A0D-8EA4-66435F8F31F9}" name="Referat" totalsRowLabel="Gesamt:" dataDxfId="1279" totalsRowDxfId="1278"/>
    <tableColumn id="2" xr3:uid="{BA4BE61D-3FD4-47A3-B960-791829922E6C}" name="Honorare Dozierende" totalsRowFunction="custom" dataDxfId="1277" totalsRowDxfId="1276">
      <totalsRowFormula>SUBTOTAL(9,Tabelle8[Honorare Dozierende])</totalsRowFormula>
    </tableColumn>
    <tableColumn id="3" xr3:uid="{13965777-8D8D-4B60-921D-557A0B04D567}" name="Andere Honorare" totalsRowFunction="custom" dataDxfId="1275" totalsRowDxfId="1274">
      <totalsRowFormula>SUBTOTAL(9,Tabelle8[Andere Honorare])</totalsRowFormula>
    </tableColumn>
    <tableColumn id="4" xr3:uid="{50CFAEFD-2DC0-4346-AFC4-2744AB6E82B4}" name="Interne Reisekosten" totalsRowFunction="custom" dataDxfId="1273" totalsRowDxfId="1272">
      <totalsRowFormula>SUBTOTAL(9,Tabelle8[Interne Reisekosten])</totalsRowFormula>
    </tableColumn>
    <tableColumn id="5" xr3:uid="{67FFA1A9-AFA8-420F-A3C9-15F1349747AD}" name="Externe Reisekosten" totalsRowFunction="custom" dataDxfId="1271" totalsRowDxfId="1270">
      <totalsRowFormula>SUBTOTAL(9,Tabelle8[Externe Reisekosten])</totalsRowFormula>
    </tableColumn>
    <tableColumn id="17" xr3:uid="{6BD940AB-3901-4A54-B7BB-733BBB9FCC70}" name="Bewirtung/Repräsentation int." totalsRowFunction="custom" dataDxfId="1269" totalsRowDxfId="1268">
      <totalsRowFormula>SUBTOTAL(9,Tabelle8[Bewirtung/Repräsentation int.])</totalsRowFormula>
    </tableColumn>
    <tableColumn id="7" xr3:uid="{CE0497DB-F74B-4223-A728-0C53944FA52D}" name="Bewirtung/Repräsentation ext." totalsRowFunction="custom" dataDxfId="1267" totalsRowDxfId="1266">
      <totalsRowFormula>SUBTOTAL(9,Tabelle8[Bewirtung/Repräsentation ext.])</totalsRowFormula>
    </tableColumn>
    <tableColumn id="18" xr3:uid="{B41C5885-8229-46EC-B562-D12B5FCC8F6A}" name="Raum- und Unterkunftskosten int." totalsRowFunction="custom" dataDxfId="1265" totalsRowDxfId="1264">
      <totalsRowFormula>SUBTOTAL(9,Tabelle8[Raum- und Unterkunftskosten int.])</totalsRowFormula>
    </tableColumn>
    <tableColumn id="8" xr3:uid="{2CFF3FE7-D041-47B4-81D8-670E5B36E93A}" name="Raum- und Unterkunftskosten ext." totalsRowFunction="custom" dataDxfId="1263" totalsRowDxfId="1262">
      <totalsRowFormula>SUBTOTAL(9,Tabelle8[Raum- und Unterkunftskosten ext.])</totalsRowFormula>
    </tableColumn>
    <tableColumn id="9" xr3:uid="{C6C30E6E-52B8-44EF-962A-16C6F87B12AC}" name="Druckkosten" totalsRowFunction="custom" dataDxfId="1261" totalsRowDxfId="1260">
      <totalsRowFormula>SUBTOTAL(9,Tabelle8[Druckkosten])</totalsRowFormula>
    </tableColumn>
    <tableColumn id="10" xr3:uid="{64261153-265C-419F-83F1-1BD9739B34D8}" name="Sonstige Ausgaben" totalsRowFunction="custom" dataDxfId="1259" totalsRowDxfId="1258">
      <totalsRowFormula>SUBTOTAL(9,Tabelle8[Sonstige Ausgaben])</totalsRowFormula>
    </tableColumn>
    <tableColumn id="19" xr3:uid="{4C203C4E-C7DA-4A4F-9024-E1F5CA50212E}" name="IT-Dienstleistungen" totalsRowFunction="custom" dataDxfId="1257" totalsRowDxfId="1256">
      <totalsRowFormula>SUBTOTAL(9,Tabelle8[IT-Dienstleistungen])</totalsRowFormula>
    </tableColumn>
    <tableColumn id="11" xr3:uid="{FD41AFE0-16C7-4101-961D-8AEA2AFD8D1A}" name="Ausgaben Gesamt" dataDxfId="1255" totalsRowDxfId="1254">
      <calculatedColumnFormula>SUM(B9:K9)</calculatedColumnFormula>
    </tableColumn>
    <tableColumn id="12" xr3:uid="{4C73B9AE-7790-450D-A363-B0AD251A0507}" name="Teilnahmebeiträge Seminare" totalsRowFunction="custom" dataDxfId="1253" totalsRowDxfId="1252">
      <totalsRowFormula>SUBTOTAL(9,Tabelle8[Teilnahmebeiträge Seminare])</totalsRowFormula>
    </tableColumn>
    <tableColumn id="13" xr3:uid="{F77DCEA4-694A-4801-97FB-6B70CDE276F1}" name="Teilnahmebeiträge Veranstaltungen" totalsRowFunction="custom" dataDxfId="1251" totalsRowDxfId="1250">
      <totalsRowFormula>SUBTOTAL(9,Tabelle8[Teilnahmebeiträge Veranstaltungen])</totalsRowFormula>
    </tableColumn>
    <tableColumn id="14" xr3:uid="{56261A7A-1E52-4880-B950-0C02EBE6E2EA}" name="Bewirtung Veranst." totalsRowFunction="custom" dataDxfId="1249" totalsRowDxfId="1248">
      <totalsRowFormula>SUBTOTAL(9,Tabelle8[Bewirtung Veranst.])</totalsRowFormula>
    </tableColumn>
    <tableColumn id="15" xr3:uid="{627BB5D4-A429-4975-B4F9-E72E2499FBF3}" name="Förderungen" totalsRowFunction="custom" dataDxfId="1247" totalsRowDxfId="1246">
      <totalsRowFormula>SUBTOTAL(9,Tabelle8[Förderungen])</totalsRowFormula>
    </tableColumn>
    <tableColumn id="16" xr3:uid="{76166991-C2D7-4FA0-9EA0-849F6C320F3F}" name="Einnahmen Gesamt" totalsRowFunction="custom" dataDxfId="1245" totalsRowDxfId="1244">
      <totalsRowFormula>SUBTOTAL(9,Tabelle8[Einnahmen Gesamt])</totalsRowFormula>
    </tableColumn>
  </tableColumns>
  <tableStyleInfo name="TableStyleLight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6BA6244-7F03-4A46-B108-4BDA074BDF20}" name="Tabelle2111239" displayName="Tabelle2111239" ref="K32:N38" totalsRowCount="1" headerRowDxfId="1052" headerRowBorderDxfId="1051" tableBorderDxfId="1050" totalsRowBorderDxfId="1049">
  <autoFilter ref="K32:N37" xr:uid="{F4DC0090-7473-41FD-94AC-AE0DC9A6829E}"/>
  <tableColumns count="4">
    <tableColumn id="1" xr3:uid="{ACD4224D-A341-473D-B157-D8F16DF369F3}" name="Nr." totalsRowLabel="Gesamt" totalsRowDxfId="1048"/>
    <tableColumn id="2" xr3:uid="{D0F69AA3-B620-4435-9BB5-9613573C50B9}" name="Betrag" totalsRowFunction="sum" dataDxfId="1047" totalsRowDxfId="1046"/>
    <tableColumn id="3" xr3:uid="{B7C56432-6EA4-453F-AF9C-50E5F28929CE}" name="Was?" dataDxfId="1045" totalsRowDxfId="1044"/>
    <tableColumn id="4" xr3:uid="{988F56F5-45FD-4AE7-941C-FA0EB25A977B}" name="Begründung" totalsRowFunction="count" dataDxfId="1043" totalsRowDxfId="1042"/>
  </tableColumns>
  <tableStyleInfo name="TableStyleLight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CD2ACDD-2779-494E-B9D6-1A09FC68C491}" name="Tabelle252" displayName="Tabelle252" ref="F13:I19" totalsRowCount="1" headerRowDxfId="1041" headerRowBorderDxfId="1040" tableBorderDxfId="1039" totalsRowBorderDxfId="1038">
  <autoFilter ref="F13:I18" xr:uid="{769996EE-55AE-4BA0-9B21-4F5841A564A2}"/>
  <tableColumns count="4">
    <tableColumn id="1" xr3:uid="{5A5CF9A5-73D8-49A4-8819-8A669BA00B45}" name="Nr." totalsRowLabel="Gesamt" totalsRowDxfId="1037"/>
    <tableColumn id="2" xr3:uid="{C1512C5B-EA01-4BFE-8499-DAD52944A209}" name="Betrag" totalsRowFunction="sum" dataDxfId="1036" totalsRowDxfId="1035"/>
    <tableColumn id="3" xr3:uid="{CB8ABC0A-61F3-4D9B-A68A-65262E24878A}" name="Was?" dataDxfId="1034" totalsRowDxfId="1033"/>
    <tableColumn id="4" xr3:uid="{0F87324B-82FB-4EC9-8720-3BFC63031770}" name="Begründung" totalsRowFunction="count" dataDxfId="1032" totalsRowDxfId="1031"/>
  </tableColumns>
  <tableStyleInfo name="TableStyleLight1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36463F71-EF2C-4975-AE38-C54AEDD2ED20}" name="Tabelle2853" displayName="Tabelle2853" ref="F4:I10" totalsRowCount="1" headerRowDxfId="1030" headerRowBorderDxfId="1029" tableBorderDxfId="1028" totalsRowBorderDxfId="1027">
  <autoFilter ref="F4:I9" xr:uid="{3BB44F51-A619-4E71-A74E-B2F696B3C5F8}"/>
  <tableColumns count="4">
    <tableColumn id="1" xr3:uid="{0CE2F57E-74DF-4332-86BF-36DF783F30CB}" name="Nr." totalsRowLabel="Gesamt" totalsRowDxfId="1026"/>
    <tableColumn id="2" xr3:uid="{989DA33B-2A3B-4EA6-B900-E5758533F81A}" name="Betrag" totalsRowFunction="sum" dataDxfId="1025" totalsRowDxfId="1024"/>
    <tableColumn id="3" xr3:uid="{5DB793C6-DE58-40FD-AC83-F6DAB49A72C9}" name="Was?" dataDxfId="1023" totalsRowDxfId="1022"/>
    <tableColumn id="4" xr3:uid="{AA9869D4-AF2D-4286-AC50-AB898513326C}" name="Begründung" totalsRowFunction="count" dataDxfId="1021" totalsRowDxfId="1020"/>
  </tableColumns>
  <tableStyleInfo name="TableStyleLight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6B8767C-78CD-40AE-A70D-B8A6C843FF06}" name="Tabelle211121656" displayName="Tabelle211121656" ref="F22:I28" totalsRowCount="1" headerRowDxfId="1019" headerRowBorderDxfId="1018" tableBorderDxfId="1017" totalsRowBorderDxfId="1016">
  <autoFilter ref="F22:I27" xr:uid="{FF6DFBEE-8E26-488B-A6BC-AAAFDB56C5DB}"/>
  <tableColumns count="4">
    <tableColumn id="1" xr3:uid="{C8FE779A-D1CC-47BD-B1A1-9313A5227BC2}" name="Nr." totalsRowLabel="Gesamt" totalsRowDxfId="1015"/>
    <tableColumn id="2" xr3:uid="{BA35BAA8-7F07-472A-9ECC-ACA3722407B0}" name="Betrag" totalsRowFunction="sum" dataDxfId="1014" totalsRowDxfId="1013"/>
    <tableColumn id="3" xr3:uid="{F408D60F-09BA-499C-B75C-34F5CBE2E3DA}" name="Was?" dataDxfId="1012" totalsRowDxfId="1011"/>
    <tableColumn id="4" xr3:uid="{409935BF-8056-42B8-8752-1C492BDF56D5}" name="Begründung" totalsRowFunction="count" dataDxfId="1010" totalsRowDxfId="1009"/>
  </tableColumns>
  <tableStyleInfo name="TableStyleLight1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C50819E-D42A-4E7E-8688-9B77C34A6F56}" name="Tabelle211123957" displayName="Tabelle211123957" ref="F32:I37" totalsRowCount="1" headerRowDxfId="1008" headerRowBorderDxfId="1007" tableBorderDxfId="1006" totalsRowBorderDxfId="1005">
  <autoFilter ref="F32:I36" xr:uid="{7B9CF155-91D3-4B58-B197-ED39D9BC43B4}"/>
  <tableColumns count="4">
    <tableColumn id="1" xr3:uid="{5D2B4AA4-1D25-494F-9196-5FE9059951D7}" name="Nr." totalsRowLabel="Gesamt" totalsRowDxfId="1004"/>
    <tableColumn id="2" xr3:uid="{53ED33D7-52C1-4DDB-9EF2-23C28D045CBB}" name="Betrag" totalsRowFunction="sum" dataDxfId="1003" totalsRowDxfId="1002"/>
    <tableColumn id="3" xr3:uid="{D2A44259-2CDE-4B19-AD5C-7CCEBEFE4E42}" name="Was?" dataDxfId="1001" totalsRowDxfId="1000"/>
    <tableColumn id="4" xr3:uid="{A417C1B9-CE8B-4C66-8C76-FA6BA1EE1F9C}" name="Begründung" totalsRowFunction="count" dataDxfId="999" totalsRowDxfId="998"/>
  </tableColumns>
  <tableStyleInfo name="TableStyleLight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AD61314-D316-45E9-86B8-013429EE65D8}" name="Tabelle25212" displayName="Tabelle25212" ref="A13:D19" totalsRowCount="1" headerRowDxfId="997" headerRowBorderDxfId="996" tableBorderDxfId="995" totalsRowBorderDxfId="994">
  <autoFilter ref="A13:D18" xr:uid="{AAD61314-D316-45E9-86B8-013429EE65D8}"/>
  <tableColumns count="4">
    <tableColumn id="1" xr3:uid="{543F91F8-BC8E-4A09-8660-B60B80D43F65}" name="Nr." totalsRowLabel="Gesamt" totalsRowDxfId="993"/>
    <tableColumn id="2" xr3:uid="{A9528F88-6259-4953-ADAE-E4E45F971BA4}" name="Betrag" totalsRowFunction="sum" dataDxfId="992" totalsRowDxfId="991"/>
    <tableColumn id="3" xr3:uid="{FE29C51A-E7F3-4A86-9F56-151F2350566A}" name="Was?" dataDxfId="990" totalsRowDxfId="989"/>
    <tableColumn id="4" xr3:uid="{F3DDFF97-5DC9-4AAB-932C-F08CE0FE0AEE}" name="Begründung" totalsRowFunction="count" dataDxfId="988" totalsRowDxfId="987"/>
  </tableColumns>
  <tableStyleInfo name="TableStyleLight1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77314B7-EA78-4978-93BB-866CB9A2EF69}" name="Tabelle285319" displayName="Tabelle285319" ref="A4:D10" totalsRowCount="1" headerRowDxfId="986" headerRowBorderDxfId="985" tableBorderDxfId="984" totalsRowBorderDxfId="983">
  <autoFilter ref="A4:D9" xr:uid="{C77314B7-EA78-4978-93BB-866CB9A2EF69}"/>
  <tableColumns count="4">
    <tableColumn id="1" xr3:uid="{1E05FF29-4FBE-4F74-81BE-360D53BAF07F}" name="Nr." totalsRowLabel="Gesamt" totalsRowDxfId="982"/>
    <tableColumn id="2" xr3:uid="{866123F5-8B52-4A35-9FC1-EA2971653207}" name="Betrag" totalsRowFunction="sum" dataDxfId="981" totalsRowDxfId="980"/>
    <tableColumn id="3" xr3:uid="{7EC4D898-9DB6-4E4D-A6E9-02ED160B19D0}" name="Was?" dataDxfId="979" totalsRowDxfId="978"/>
    <tableColumn id="4" xr3:uid="{BEA873FC-C635-46C2-B31E-F6C4B8F45569}" name="Begründung" totalsRowFunction="count" dataDxfId="977" totalsRowDxfId="976"/>
  </tableColumns>
  <tableStyleInfo name="TableStyleLight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BFAB39E-8B05-4121-98B2-DC97EDDBE4E7}" name="Tabelle21112165635" displayName="Tabelle21112165635" ref="A22:D28" totalsRowCount="1" headerRowDxfId="975" headerRowBorderDxfId="974" tableBorderDxfId="973" totalsRowBorderDxfId="972">
  <autoFilter ref="A22:D27" xr:uid="{BBFAB39E-8B05-4121-98B2-DC97EDDBE4E7}"/>
  <tableColumns count="4">
    <tableColumn id="1" xr3:uid="{629AE4EE-7F5F-484D-9880-8C701C979257}" name="Nr." totalsRowLabel="Gesamt" totalsRowDxfId="971"/>
    <tableColumn id="2" xr3:uid="{0BFED32A-B2D2-4C0A-8B8B-98707B9DC303}" name="Betrag" totalsRowFunction="sum" dataDxfId="970" totalsRowDxfId="969"/>
    <tableColumn id="3" xr3:uid="{B4855055-0D96-4265-923A-F36DF7455D81}" name="Was?" dataDxfId="968" totalsRowDxfId="967"/>
    <tableColumn id="4" xr3:uid="{4AEEFAD7-A0F7-492D-BFEA-401778220D72}" name="Begründung" totalsRowFunction="count" dataDxfId="966" totalsRowDxfId="965"/>
  </tableColumns>
  <tableStyleInfo name="TableStyleLight1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BCC7AB1-DA1F-497A-ABF5-5F188D0BFEE4}" name="Tabelle21112395736" displayName="Tabelle21112395736" ref="A32:D37" totalsRowCount="1" headerRowDxfId="964" headerRowBorderDxfId="963" tableBorderDxfId="962" totalsRowBorderDxfId="961">
  <autoFilter ref="A32:D36" xr:uid="{2BCC7AB1-DA1F-497A-ABF5-5F188D0BFEE4}"/>
  <tableColumns count="4">
    <tableColumn id="1" xr3:uid="{EA399083-7342-46F7-A845-5EE7B058970A}" name="Nr." totalsRowLabel="Gesamt" totalsRowDxfId="960"/>
    <tableColumn id="2" xr3:uid="{7721596C-A68F-4AD2-8853-F8F23C71B95C}" name="Betrag" totalsRowFunction="sum" dataDxfId="959" totalsRowDxfId="958"/>
    <tableColumn id="3" xr3:uid="{D0F9E902-830A-4915-B033-9010EE88CBB2}" name="Was?" dataDxfId="957" totalsRowDxfId="956"/>
    <tableColumn id="4" xr3:uid="{3FDE74FC-E1DB-4257-87A8-C2DFA9849617}" name="Begründung" totalsRowFunction="count" dataDxfId="955" totalsRowDxfId="954"/>
  </tableColumns>
  <tableStyleInfo name="TableStyleLight1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8DB7FEA-5B67-4BA4-A2F2-7E39F67C84DE}" name="Tabelle4" displayName="Tabelle4" ref="O35:Z45" totalsRowCount="1" headerRowDxfId="953" dataDxfId="952" totalsRowDxfId="951">
  <autoFilter ref="O35:Z44" xr:uid="{99887CDA-11A8-41F9-A93B-C715B17331CA}"/>
  <tableColumns count="12">
    <tableColumn id="13" xr3:uid="{A8F24EE7-21A8-4421-9C14-33FCADFEA6B1}" name="Lfd. Nr." dataDxfId="950" totalsRowDxfId="949">
      <calculatedColumnFormula>ROW(A1)</calculatedColumnFormula>
    </tableColumn>
    <tableColumn id="1" xr3:uid="{13DF87E6-9F22-469E-932F-F3890073B066}" name="Beschreibung/ Kurzbezeichnung" totalsRowLabel="Gesamt:  " dataDxfId="948" totalsRowDxfId="947"/>
    <tableColumn id="2" xr3:uid="{B5F65108-1BA6-4ACB-8DDF-1E9EACFBB6BE}" name="Teilnahmebeiträge Fachseminare" totalsRowFunction="custom" dataDxfId="946" totalsRowDxfId="945">
      <totalsRowFormula>SUBTOTAL(9,Tabelle4[Teilnahmebeiträge Fachseminare])</totalsRowFormula>
    </tableColumn>
    <tableColumn id="3" xr3:uid="{66C74587-1FBA-46BD-A87E-EFEC04BA60DB}" name="Teilnahmebeiträge Veranstaltungen" totalsRowFunction="custom" dataDxfId="944" totalsRowDxfId="943">
      <totalsRowFormula>SUBTOTAL(9,Tabelle4[Teilnahmebeiträge Veranstaltungen])</totalsRowFormula>
    </tableColumn>
    <tableColumn id="4" xr3:uid="{C416F50F-C21E-43B3-9E0E-946B8F11A4D5}" name="Sonstige Einnahmen" totalsRowFunction="custom" dataDxfId="942" totalsRowDxfId="941">
      <totalsRowFormula>SUBTOTAL(9,Tabelle4[Sonstige Einnahmen])</totalsRowFormula>
    </tableColumn>
    <tableColumn id="5" xr3:uid="{FA352F85-DB33-481D-BA34-B53B89811714}" name="Honorare Dozierende Fachseminare" totalsRowFunction="custom" dataDxfId="940" totalsRowDxfId="939">
      <totalsRowFormula>SUBTOTAL(9,Tabelle4[Honorare Dozierende Fachseminare])</totalsRowFormula>
    </tableColumn>
    <tableColumn id="6" xr3:uid="{48821E5B-BC5D-4FBF-BC22-198BC912F285}" name="Aufwandsentschädigungen" totalsRowFunction="custom" dataDxfId="938" totalsRowDxfId="937">
      <totalsRowFormula>SUBTOTAL(9,Tabelle4[Aufwandsentschädigungen])</totalsRowFormula>
    </tableColumn>
    <tableColumn id="7" xr3:uid="{45498F62-C5C5-4CFC-877D-B826592EB633}" name="Externe Reisekosten" totalsRowFunction="custom" dataDxfId="936" totalsRowDxfId="935">
      <totalsRowFormula>SUBTOTAL(9,Tabelle4[Externe Reisekosten])</totalsRowFormula>
    </tableColumn>
    <tableColumn id="8" xr3:uid="{D760CC1A-2EF9-40CA-8D58-2F46DEAF4B54}" name="Repräsentation/Bewirtung extern" totalsRowFunction="custom" dataDxfId="934" totalsRowDxfId="933">
      <totalsRowFormula>SUBTOTAL(9,Tabelle4[Repräsentation/Bewirtung extern])</totalsRowFormula>
    </tableColumn>
    <tableColumn id="9" xr3:uid="{3458333D-48D6-4B17-B5F3-EE54E1CB8081}" name="Raum + Unterkunft extern" totalsRowFunction="custom" dataDxfId="932" totalsRowDxfId="931">
      <totalsRowFormula>SUBTOTAL(9,Tabelle4[Raum + Unterkunft extern])</totalsRowFormula>
    </tableColumn>
    <tableColumn id="10" xr3:uid="{A9ACB4E3-9342-45AE-B3DC-DB711BB5D535}" name="Verwaltungs- und Druckkosten" totalsRowFunction="custom" dataDxfId="930" totalsRowDxfId="929">
      <totalsRowFormula>SUBTOTAL(9,Tabelle4[Verwaltungs- und Druckkosten])</totalsRowFormula>
    </tableColumn>
    <tableColumn id="11" xr3:uid="{3E800A2B-F9B0-4306-BD4C-EBE1EA2B7E01}" name="Gesamt" totalsRowFunction="custom" dataDxfId="928" totalsRowDxfId="927">
      <calculatedColumnFormula>SUM(Q36:S36)-SUM(T36:Y36)</calculatedColumnFormula>
      <totalsRowFormula>SUBTOTAL(9,Tabelle4[Gesamt])</totalsRowFormula>
    </tableColumn>
  </tableColumns>
  <tableStyleInfo name="TableStyleLight1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0A59A4D-AE9A-4F88-B1E0-6D099C0D655E}" name="Tabelle13" displayName="Tabelle13" ref="A122:D138" totalsRowCount="1" headerRowDxfId="1243" dataDxfId="1241" headerRowBorderDxfId="1242" tableBorderDxfId="1240" totalsRowBorderDxfId="1239">
  <autoFilter ref="A122:D137" xr:uid="{45100ECA-58EE-45D8-AC2E-66AFAE4C12E2}"/>
  <tableColumns count="4">
    <tableColumn id="1" xr3:uid="{0A9690F6-9B9B-4CF2-9B28-4DF64EBAF60A}" name="Zuschüsse" totalsRowLabel="Gesamt:  " dataDxfId="1238" totalsRowDxfId="1237"/>
    <tableColumn id="2" xr3:uid="{3FCB56E7-1146-401F-A463-00B95078A607}" name="Honorare Doz. Lerngruppen" totalsRowFunction="custom" dataDxfId="1236" totalsRowDxfId="1235" dataCellStyle="Link">
      <totalsRowFormula>SUBTOTAL(9,Tabelle13[Honorare Doz. Lerngruppen])</totalsRowFormula>
    </tableColumn>
    <tableColumn id="3" xr3:uid="{14218705-69CD-43C8-94CC-D07ED408DA50}" name="Honorare Seminare Campus" totalsRowFunction="custom" dataDxfId="1234" totalsRowDxfId="1233">
      <totalsRowFormula>SUBTOTAL(9,Tabelle13[Honorare Seminare Campus])</totalsRowFormula>
    </tableColumn>
    <tableColumn id="4" xr3:uid="{36B4805C-1CE7-4210-907B-74F0252C3E12}" name="Bewirtung/Repräsentation ext." totalsRowFunction="custom" dataDxfId="1232" totalsRowDxfId="1231">
      <totalsRowFormula>SUBTOTAL(9,Tabelle13[Bewirtung/Repräsentation ext.])</totalsRowFormula>
    </tableColumn>
  </tableColumns>
  <tableStyleInfo name="TableStyleLight1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C064D29-87C6-4ADE-B96C-0190B6A67EFC}" name="Tabelle5" displayName="Tabelle5" ref="R50:AF62" totalsRowCount="1" headerRowDxfId="926" dataDxfId="925" totalsRowDxfId="924">
  <autoFilter ref="R50:AF61" xr:uid="{013EA9C5-7A45-4E8F-94A3-9D04C72F17FB}"/>
  <tableColumns count="15">
    <tableColumn id="14" xr3:uid="{F9F3DFD6-1A59-4E8C-809D-65181C70109F}" name="Lfd. Nr." dataDxfId="923" totalsRowDxfId="922">
      <calculatedColumnFormula>ROW(A1)</calculatedColumnFormula>
    </tableColumn>
    <tableColumn id="1" xr3:uid="{47682B2F-1522-46B8-88F5-C39CB8154E5E}" name="Beschreibung" totalsRowLabel="Gesamt:  " dataDxfId="921" totalsRowDxfId="920"/>
    <tableColumn id="2" xr3:uid="{D2645C2D-A480-4915-BCA3-14853DE9D28C}" name="Teilnahmebeiträge Veranstaltungen" totalsRowFunction="custom" dataDxfId="919" totalsRowDxfId="918">
      <totalsRowFormula>SUBTOTAL(9,Tabelle5[Teilnahmebeiträge Veranstaltungen])</totalsRowFormula>
    </tableColumn>
    <tableColumn id="3" xr3:uid="{2CAE7019-F838-445C-9E3B-84CCC04DEE84}" name="Sonstige Einnahmen" totalsRowFunction="custom" dataDxfId="917" totalsRowDxfId="916">
      <totalsRowFormula>SUBTOTAL(9,Tabelle5[Sonstige Einnahmen])</totalsRowFormula>
    </tableColumn>
    <tableColumn id="4" xr3:uid="{8314403B-7B9B-4A94-8EB9-B586BCC01D54}" name="Aufwandsentschädigungen" totalsRowFunction="custom" dataDxfId="915" totalsRowDxfId="914">
      <totalsRowFormula>SUBTOTAL(9,Tabelle5[Aufwandsentschädigungen])</totalsRowFormula>
    </tableColumn>
    <tableColumn id="5" xr3:uid="{A306AA20-AA03-49F2-A072-49A39AA5876F}" name="Interne Reisekosten" totalsRowFunction="custom" dataDxfId="913" totalsRowDxfId="912">
      <totalsRowFormula>SUBTOTAL(9,Tabelle5[Interne Reisekosten])</totalsRowFormula>
    </tableColumn>
    <tableColumn id="6" xr3:uid="{31737770-59B6-4BCE-8759-9906745B7067}" name="Raum + Unterkunft intern" totalsRowFunction="custom" dataDxfId="911" totalsRowDxfId="910">
      <totalsRowFormula>SUBTOTAL(9,Tabelle5[Raum + Unterkunft intern])</totalsRowFormula>
    </tableColumn>
    <tableColumn id="7" xr3:uid="{57DF216B-12A7-44A3-B121-2FFB0FA809E4}" name="Repräsentation/Bewirtung intern" totalsRowFunction="custom" dataDxfId="909" totalsRowDxfId="908">
      <totalsRowFormula>SUBTOTAL(9,Tabelle5[Repräsentation/Bewirtung intern])</totalsRowFormula>
    </tableColumn>
    <tableColumn id="8" xr3:uid="{3CFF62AA-B463-4C34-9006-0E65EBC4CF3B}" name="Repräsentation/Bewirtung extern" totalsRowFunction="custom" dataDxfId="907" totalsRowDxfId="906">
      <totalsRowFormula>SUBTOTAL(9,Tabelle5[Repräsentation/Bewirtung extern])</totalsRowFormula>
    </tableColumn>
    <tableColumn id="9" xr3:uid="{133AE7E2-09E0-43D5-A5B0-39CF037AF972}" name="Raum + Unterkunft extern" totalsRowFunction="custom" dataDxfId="905" totalsRowDxfId="904">
      <totalsRowFormula>SUBTOTAL(9,Tabelle5[Raum + Unterkunft extern])</totalsRowFormula>
    </tableColumn>
    <tableColumn id="10" xr3:uid="{3E208569-C14C-4065-ACFA-5E6B310545B9}" name="Druckkosten" totalsRowFunction="custom" dataDxfId="903" totalsRowDxfId="902">
      <totalsRowFormula>SUBTOTAL(9,Tabelle5[Druckkosten])</totalsRowFormula>
    </tableColumn>
    <tableColumn id="11" xr3:uid="{6D006640-D231-4EBB-9895-7635C05773C6}" name="Sonstige Kosten" totalsRowFunction="custom" dataDxfId="901" totalsRowDxfId="900">
      <totalsRowFormula>SUBTOTAL(9,Tabelle5[Sonstige Kosten])</totalsRowFormula>
    </tableColumn>
    <tableColumn id="12" xr3:uid="{98DB0824-52C6-45E3-A676-8F6F9CCAAF17}" name="Rechtsangelegenheiten" totalsRowFunction="custom" dataDxfId="899" totalsRowDxfId="898">
      <totalsRowFormula>SUBTOTAL(9,Tabelle5[Rechtsangelegenheiten])</totalsRowFormula>
    </tableColumn>
    <tableColumn id="16" xr3:uid="{0BE60385-88D1-4C54-86C3-5D99F39C8E07}" name="Andere Honorare" totalsRowFunction="sum" dataDxfId="897" totalsRowDxfId="896"/>
    <tableColumn id="13" xr3:uid="{FAAF122A-F8C4-4CA8-9D35-492D66B154B6}" name="Gesamt" totalsRowFunction="custom" dataDxfId="895" totalsRowDxfId="894">
      <calculatedColumnFormula>SUM(T51+U51)-SUM(V51:AD51)</calculatedColumnFormula>
      <totalsRowFormula>SUBTOTAL(9,Tabelle5[Gesamt])</totalsRowFormula>
    </tableColumn>
  </tableColumns>
  <tableStyleInfo name="TableStyleLight16"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40E53A0-1313-42CC-A55E-F26930871292}" name="Tabelle6" displayName="Tabelle6" ref="L67:T85" totalsRowCount="1" headerRowDxfId="893" dataDxfId="892" totalsRowDxfId="891" dataCellStyle="Link">
  <autoFilter ref="L67:T84" xr:uid="{43A09B6F-448F-435C-872B-DB9622B39E76}"/>
  <tableColumns count="9">
    <tableColumn id="1" xr3:uid="{8C0A8475-4BDD-4823-AF9C-8CE0F611B12B}" name="Lfd. Nr. " dataDxfId="890" totalsRowDxfId="889">
      <calculatedColumnFormula>ROW(A1)</calculatedColumnFormula>
    </tableColumn>
    <tableColumn id="8" xr3:uid="{E1B6708D-965C-438C-B146-DC7C29C59918}" name="Sitzung/Tätigkeit" dataDxfId="888" totalsRowDxfId="887"/>
    <tableColumn id="9" xr3:uid="{67117E1A-3337-4AF0-B784-1B470B0FA90B}" name="Ort oder Datum (falls bekannt)" dataDxfId="886" totalsRowDxfId="885"/>
    <tableColumn id="7" xr3:uid="{E1E5E6BE-8E75-4ADB-A872-3DB3E88845F0}" name="Art" totalsRowLabel="Gesamt:  " dataDxfId="884" totalsRowDxfId="883"/>
    <tableColumn id="2" xr3:uid="{A7663130-ABEA-4CEC-A3B6-A3B62B4F186C}" name="Aufwandsentschädigungen" totalsRowFunction="custom" dataDxfId="882" totalsRowDxfId="881" dataCellStyle="Link">
      <totalsRowFormula>SUBTOTAL(9,Tabelle6[Aufwandsentschädigungen])</totalsRowFormula>
    </tableColumn>
    <tableColumn id="3" xr3:uid="{6121D3DB-FA4F-4F52-B3F8-F9F0DA30A61A}" name="Interne Reisekosten" totalsRowFunction="custom" dataDxfId="880" totalsRowDxfId="879" dataCellStyle="Link">
      <totalsRowFormula>SUBTOTAL(9,Tabelle6[Interne Reisekosten])</totalsRowFormula>
    </tableColumn>
    <tableColumn id="4" xr3:uid="{558544D0-6778-4BCA-A188-D917F6A98AEE}" name="Raum + Unterkunft intern" totalsRowFunction="custom" dataDxfId="878" totalsRowDxfId="877" dataCellStyle="Link">
      <totalsRowFormula>SUBTOTAL(9,Tabelle6[Raum + Unterkunft intern])</totalsRowFormula>
    </tableColumn>
    <tableColumn id="5" xr3:uid="{24C01EF1-EEF2-4564-B75C-435E45148BD8}" name="Repräsentation/Bewirtung intern" totalsRowFunction="custom" dataDxfId="876" totalsRowDxfId="875" dataCellStyle="Link">
      <totalsRowFormula>SUBTOTAL(9,Tabelle6[Repräsentation/Bewirtung intern])</totalsRowFormula>
    </tableColumn>
    <tableColumn id="6" xr3:uid="{E5693F86-D3E8-4A51-ABEA-7B93DFFF09A0}" name="Gesamt" totalsRowFunction="custom" dataDxfId="874" totalsRowDxfId="873">
      <totalsRowFormula>SUBTOTAL(9,Tabelle6[Gesamt])</totalsRowFormula>
    </tableColumn>
  </tableColumns>
  <tableStyleInfo name="TableStyleLight2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22FF5A57-4E6E-4EB9-A781-92011D338F77}" name="Tabelle18" displayName="Tabelle18" ref="A3:L23" totalsRowCount="1" headerRowDxfId="872" dataDxfId="871" totalsRowDxfId="869" tableBorderDxfId="870">
  <autoFilter ref="A3:L22" xr:uid="{E31AE468-1510-4678-9C28-8A5337B561D8}"/>
  <tableColumns count="12">
    <tableColumn id="1" xr3:uid="{9FFAEE0B-3A85-4EDA-94B2-3CF377BE1ED5}" name="Titel" dataDxfId="868" totalsRowDxfId="867"/>
    <tableColumn id="2" xr3:uid="{DD47CC34-8AC3-4E8F-A631-4FF59FEA67F2}" name="Kontenbezeichnung" dataDxfId="866" totalsRowDxfId="865"/>
    <tableColumn id="3" xr3:uid="{EEDB16F4-0EAE-402B-919F-5592A0DF44BC}" name="-" dataDxfId="864" totalsRowDxfId="863"/>
    <tableColumn id="4" xr3:uid="{E6B8507D-27A9-4268-839D-245EF2B7EECD}" name="Erläuterung" totalsRowLabel="Gesamt:" dataDxfId="862" totalsRowDxfId="861"/>
    <tableColumn id="10" xr3:uid="{018B9669-1AF1-4483-829C-50DD40613FE4}" name="Freie Eingabe HHHJ 23-24" totalsRowFunction="custom" dataDxfId="860" totalsRowDxfId="859">
      <totalsRowFormula>SUBTOTAL(109,E10:E22)</totalsRowFormula>
    </tableColumn>
    <tableColumn id="6" xr3:uid="{FBA68DCB-9ACB-4874-AF1A-10CB9D07D4F8}" name="Rechnung HHJ 23-24" totalsRowFunction="custom" dataDxfId="858" totalsRowDxfId="857">
      <totalsRowFormula>SUBTOTAL(109,F10:F22)</totalsRowFormula>
    </tableColumn>
    <tableColumn id="19" xr3:uid="{FA398F56-DBFE-4A39-872A-5493DCFFC13F}" name="Freie Eingabe Plan HHJ 22-23" totalsRowFunction="custom" dataDxfId="856" totalsRowDxfId="855">
      <totalsRowFormula>SUBTOTAL(109,G10:G22)</totalsRowFormula>
    </tableColumn>
    <tableColumn id="17" xr3:uid="{EF3AED72-5F65-475D-9D0C-4C97CE79AEC1}" name="Rechnung HHJ 22-232" totalsRowFunction="custom" dataDxfId="854" totalsRowDxfId="853" dataCellStyle="Link">
      <totalsRowFormula>SUBTOTAL(109,H10:H22)</totalsRowFormula>
    </tableColumn>
    <tableColumn id="5" xr3:uid="{0D88F82C-E721-4A28-B141-D3B0F41AFB73}" name="Freie Eingabe Plan HHJ 21-22" totalsRowFunction="custom" dataDxfId="852" totalsRowDxfId="851">
      <totalsRowFormula>SUBTOTAL(109,I10:I22)</totalsRowFormula>
    </tableColumn>
    <tableColumn id="7" xr3:uid="{9C9303D5-7F59-49F4-A770-C8316B4B9578}" name="IST HHJ 21-22" totalsRowFunction="custom" dataDxfId="850" totalsRowDxfId="849">
      <totalsRowFormula>SUBTOTAL(109,J10:J22)</totalsRowFormula>
    </tableColumn>
    <tableColumn id="8" xr3:uid="{A94E4832-A265-4B32-A642-893B7A3D4993}" name="Abschluss 20-21" dataDxfId="848" totalsRowDxfId="847"/>
    <tableColumn id="9" xr3:uid="{CFA76E31-9E77-47CE-8C61-62B57EC82F8D}" name="Plan HHJ 20-21" dataDxfId="846" totalsRowDxfId="845"/>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D6EBBE1-AEA1-47B7-9E61-65B6364C6A9A}" name="Tabelle444" displayName="Tabelle444" ref="A35:L45" totalsRowCount="1" headerRowDxfId="844" dataDxfId="843" totalsRowDxfId="842">
  <autoFilter ref="A35:L44" xr:uid="{ED6EBBE1-AEA1-47B7-9E61-65B6364C6A9A}"/>
  <tableColumns count="12">
    <tableColumn id="13" xr3:uid="{05C2AAB4-78A6-429A-B54C-076C289E10BA}" name="Lfd. Nr." dataDxfId="841" totalsRowDxfId="840">
      <calculatedColumnFormula>ROW(#REF!)</calculatedColumnFormula>
    </tableColumn>
    <tableColumn id="1" xr3:uid="{213AC5A7-88B1-46C5-9D41-905E3F3CCB01}" name="Beschreibung/ Kurzbezeichnung" totalsRowLabel="Gesamt:  " dataDxfId="839" totalsRowDxfId="838"/>
    <tableColumn id="2" xr3:uid="{31C9E33A-6210-4FF0-A4DC-8DC91DA11FA5}" name="Teilnahmebeiträge Fachseminare" totalsRowFunction="custom" dataDxfId="837" totalsRowDxfId="836">
      <totalsRowFormula>SUBTOTAL(9,Tabelle444[Teilnahmebeiträge Fachseminare])</totalsRowFormula>
    </tableColumn>
    <tableColumn id="3" xr3:uid="{AD08A4F0-F3BE-459C-BD71-03E6B66E54C1}" name="Teilnahmebeiträge Veranstaltungen" totalsRowFunction="custom" dataDxfId="835" totalsRowDxfId="834">
      <totalsRowFormula>SUBTOTAL(9,Tabelle444[Teilnahmebeiträge Veranstaltungen])</totalsRowFormula>
    </tableColumn>
    <tableColumn id="4" xr3:uid="{DBC83ED8-14F1-4EFD-8506-AE6BFFCDBCDF}" name="Sonstige Einnahmen" totalsRowFunction="custom" dataDxfId="833" totalsRowDxfId="832">
      <totalsRowFormula>SUBTOTAL(9,Tabelle444[Sonstige Einnahmen])</totalsRowFormula>
    </tableColumn>
    <tableColumn id="5" xr3:uid="{2D6CC34F-56D3-4137-9B62-E331DCBC0914}" name="Honorare Dozierende Fachseminare" totalsRowFunction="custom" dataDxfId="831" totalsRowDxfId="830">
      <totalsRowFormula>SUBTOTAL(9,Tabelle444[Honorare Dozierende Fachseminare])</totalsRowFormula>
    </tableColumn>
    <tableColumn id="6" xr3:uid="{14ABBE63-1B97-4769-8122-6DF6003EF9E1}" name="Aufwandsentschädigungen" totalsRowFunction="custom" dataDxfId="829" totalsRowDxfId="828">
      <totalsRowFormula>SUBTOTAL(9,Tabelle444[Aufwandsentschädigungen])</totalsRowFormula>
    </tableColumn>
    <tableColumn id="7" xr3:uid="{D5809602-A5B1-494C-9AE4-E78654551066}" name="Externe Reisekosten" totalsRowFunction="custom" dataDxfId="827" totalsRowDxfId="826">
      <totalsRowFormula>SUBTOTAL(9,Tabelle444[Externe Reisekosten])</totalsRowFormula>
    </tableColumn>
    <tableColumn id="8" xr3:uid="{70DFBA83-D5B8-4E27-B804-EEC7B3FA6264}" name="Repräsentation/Bewirtung extern" totalsRowFunction="custom" dataDxfId="825" totalsRowDxfId="824">
      <totalsRowFormula>SUBTOTAL(9,Tabelle444[Repräsentation/Bewirtung extern])</totalsRowFormula>
    </tableColumn>
    <tableColumn id="9" xr3:uid="{D4FAA489-884F-4006-A6C5-4F3C43D371D8}" name="Raum + Unterkunft extern" totalsRowFunction="custom" dataDxfId="823" totalsRowDxfId="822">
      <totalsRowFormula>SUBTOTAL(9,Tabelle444[Raum + Unterkunft extern])</totalsRowFormula>
    </tableColumn>
    <tableColumn id="10" xr3:uid="{932EAA3C-59E8-4867-9F60-1E8F37EB1FFC}" name="Verwaltungs- und Druckkosten" totalsRowFunction="custom" dataDxfId="821" totalsRowDxfId="820">
      <totalsRowFormula>SUBTOTAL(9,Tabelle444[Verwaltungs- und Druckkosten])</totalsRowFormula>
    </tableColumn>
    <tableColumn id="11" xr3:uid="{DC3E4401-C6FC-4114-BF5B-502FA1181867}" name="Gesamt" totalsRowFunction="custom" dataDxfId="819" totalsRowDxfId="818">
      <calculatedColumnFormula>SUM(C36:E36)-SUM(F36:K36)</calculatedColumnFormula>
      <totalsRowFormula>SUBTOTAL(9,Tabelle444[Gesamt])</totalsRowFormula>
    </tableColumn>
  </tableColumns>
  <tableStyleInfo name="TableStyleLight1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1E99D626-5999-4C53-AE66-D1E3410FEFF5}" name="Tabelle546" displayName="Tabelle546" ref="A50:O62" totalsRowCount="1" headerRowDxfId="817" dataDxfId="816" totalsRowDxfId="815">
  <autoFilter ref="A50:O61" xr:uid="{1E99D626-5999-4C53-AE66-D1E3410FEFF5}"/>
  <tableColumns count="15">
    <tableColumn id="14" xr3:uid="{1E3FB9D3-5034-4C82-9BA8-278BA1B703D5}" name="Lfd. Nr." dataDxfId="814" totalsRowDxfId="813">
      <calculatedColumnFormula>ROW(A1)</calculatedColumnFormula>
    </tableColumn>
    <tableColumn id="1" xr3:uid="{FDFA808A-AF96-4C1A-8A59-A42DA88AF7EA}" name="Beschreibung" totalsRowLabel="Gesamt:  " dataDxfId="812" totalsRowDxfId="811"/>
    <tableColumn id="2" xr3:uid="{62C53A61-A1C5-4AB2-9A95-AB163CCCAA2C}" name="Teilnahmebeiträge Veranstaltungen" totalsRowFunction="custom" dataDxfId="810" totalsRowDxfId="809">
      <totalsRowFormula>SUBTOTAL(9,Tabelle546[Teilnahmebeiträge Veranstaltungen])</totalsRowFormula>
    </tableColumn>
    <tableColumn id="3" xr3:uid="{B979E235-303F-4B3F-8B6D-13462C6AABD6}" name="Sonstige Einnahmen" totalsRowFunction="custom" dataDxfId="808" totalsRowDxfId="807">
      <totalsRowFormula>SUBTOTAL(9,Tabelle546[Sonstige Einnahmen])</totalsRowFormula>
    </tableColumn>
    <tableColumn id="4" xr3:uid="{44B4A7E2-8A1A-4E43-AEE2-037BF9BEB4D7}" name="Aufwandsentschädigungen" totalsRowFunction="custom" dataDxfId="806" totalsRowDxfId="805">
      <totalsRowFormula>SUBTOTAL(9,Tabelle546[Aufwandsentschädigungen])</totalsRowFormula>
    </tableColumn>
    <tableColumn id="5" xr3:uid="{DA24E130-FF62-483F-B8CB-D0EC0AC43DBF}" name="Interne Reisekosten" totalsRowFunction="custom" dataDxfId="804" totalsRowDxfId="803">
      <totalsRowFormula>SUBTOTAL(9,Tabelle546[Interne Reisekosten])</totalsRowFormula>
    </tableColumn>
    <tableColumn id="6" xr3:uid="{8D34019E-6E05-448B-8FFB-5FB091C33568}" name="Raum + Unterkunft intern" totalsRowFunction="custom" dataDxfId="802" totalsRowDxfId="801">
      <totalsRowFormula>SUBTOTAL(9,Tabelle546[Raum + Unterkunft intern])</totalsRowFormula>
    </tableColumn>
    <tableColumn id="7" xr3:uid="{16F2EC7A-D3E6-43CA-AD3E-C4B6FC179F13}" name="Repräsentation/Bewirtung intern" totalsRowFunction="custom" dataDxfId="800" totalsRowDxfId="799">
      <totalsRowFormula>SUBTOTAL(9,Tabelle546[Repräsentation/Bewirtung intern])</totalsRowFormula>
    </tableColumn>
    <tableColumn id="8" xr3:uid="{165A365D-9965-4361-80C5-464BE089A164}" name="Repräsentation/Bewirtung extern" totalsRowFunction="custom" dataDxfId="798" totalsRowDxfId="797">
      <totalsRowFormula>SUBTOTAL(9,Tabelle546[Repräsentation/Bewirtung extern])</totalsRowFormula>
    </tableColumn>
    <tableColumn id="9" xr3:uid="{B9B57872-05E4-4AFA-86CE-BF12629A4557}" name="Raum + Unterkunft extern" totalsRowFunction="custom" dataDxfId="796" totalsRowDxfId="795">
      <totalsRowFormula>SUBTOTAL(9,Tabelle546[Raum + Unterkunft extern])</totalsRowFormula>
    </tableColumn>
    <tableColumn id="10" xr3:uid="{BDED6D8F-9FFF-4397-925E-BEC57F4CDC51}" name="Druckkosten" totalsRowFunction="custom" dataDxfId="794" totalsRowDxfId="793">
      <totalsRowFormula>SUBTOTAL(9,Tabelle546[Druckkosten])</totalsRowFormula>
    </tableColumn>
    <tableColumn id="11" xr3:uid="{402CB82B-42B3-4D65-86E4-BE238C78FB68}" name="Sonstige Kosten" totalsRowFunction="custom" dataDxfId="792" totalsRowDxfId="791">
      <totalsRowFormula>SUBTOTAL(9,Tabelle546[Sonstige Kosten])</totalsRowFormula>
    </tableColumn>
    <tableColumn id="12" xr3:uid="{8EEB2490-3B18-408B-AAD5-AB3DF9D34DF6}" name="Rechtsangelegenheiten" totalsRowFunction="custom" dataDxfId="790" totalsRowDxfId="789">
      <totalsRowFormula>SUBTOTAL(9,Tabelle546[Rechtsangelegenheiten])</totalsRowFormula>
    </tableColumn>
    <tableColumn id="16" xr3:uid="{BC260EBD-5747-461E-A489-DE8B64ECDC63}" name="Andere Honorare" totalsRowFunction="sum" dataDxfId="788" totalsRowDxfId="787"/>
    <tableColumn id="13" xr3:uid="{21869561-6ED9-4CEC-8D66-498D8DA8343E}" name="Gesamt" totalsRowFunction="custom" dataDxfId="786" totalsRowDxfId="785">
      <calculatedColumnFormula>SUM(C51+D51)-SUM(E51:M51)</calculatedColumnFormula>
      <totalsRowFormula>SUBTOTAL(9,Tabelle546[Gesamt])</totalsRowFormula>
    </tableColumn>
  </tableColumns>
  <tableStyleInfo name="TableStyleLight16"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8DE26AC8-3817-4EF1-A87E-ED1EACE411E0}" name="Tabelle647" displayName="Tabelle647" ref="A67:I85" totalsRowCount="1" headerRowDxfId="784" dataDxfId="783" totalsRowDxfId="782" dataCellStyle="Link">
  <autoFilter ref="A67:I84" xr:uid="{8DE26AC8-3817-4EF1-A87E-ED1EACE411E0}"/>
  <tableColumns count="9">
    <tableColumn id="1" xr3:uid="{711ABBFC-AB53-46FB-835F-6DA3BC378F9E}" name="Lfd. Nr. " dataDxfId="781" totalsRowDxfId="780">
      <calculatedColumnFormula>ROW(A1)</calculatedColumnFormula>
    </tableColumn>
    <tableColumn id="8" xr3:uid="{204D3619-6626-4F30-A325-80F9C5D7F746}" name="Sitzung/Tätigkeit" dataDxfId="779" totalsRowDxfId="778"/>
    <tableColumn id="9" xr3:uid="{46436DDB-B7CB-4885-9763-18B1CA6E9E03}" name="Ort oder Datum (falls bekannt)" dataDxfId="777" totalsRowDxfId="776"/>
    <tableColumn id="7" xr3:uid="{3541530B-0FE0-47CC-9BD7-39D638590A13}" name="Art" totalsRowLabel="Gesamt:  " dataDxfId="775" totalsRowDxfId="774"/>
    <tableColumn id="2" xr3:uid="{943F8B30-D149-4ADF-AB2B-01B6AE34C709}" name="Aufwandsentschädigungen" totalsRowFunction="custom" dataDxfId="773" totalsRowDxfId="772" dataCellStyle="Link">
      <totalsRowFormula>SUBTOTAL(9,Tabelle647[Aufwandsentschädigungen])</totalsRowFormula>
    </tableColumn>
    <tableColumn id="3" xr3:uid="{0EDEE5F5-EA86-463B-8834-A40FA15954C6}" name="Interne Reisekosten" totalsRowFunction="custom" dataDxfId="771" totalsRowDxfId="770" dataCellStyle="Link">
      <totalsRowFormula>SUBTOTAL(9,Tabelle647[Interne Reisekosten])</totalsRowFormula>
    </tableColumn>
    <tableColumn id="4" xr3:uid="{036F0012-2129-4317-BA5D-94C376F61A34}" name="Raum + Unterkunft intern" totalsRowFunction="custom" dataDxfId="769" totalsRowDxfId="768" dataCellStyle="Link">
      <totalsRowFormula>SUBTOTAL(9,Tabelle647[Raum + Unterkunft intern])</totalsRowFormula>
    </tableColumn>
    <tableColumn id="5" xr3:uid="{CEE32981-AE94-4A48-BD9C-F96E9816250E}" name="Repräsentation/Bewirtung intern" totalsRowFunction="custom" dataDxfId="767" totalsRowDxfId="766" dataCellStyle="Link">
      <totalsRowFormula>SUBTOTAL(9,Tabelle647[Repräsentation/Bewirtung intern])</totalsRowFormula>
    </tableColumn>
    <tableColumn id="6" xr3:uid="{3544BBC0-7F07-4D3D-9CAB-FA57E3F5195D}" name="Gesamt" totalsRowFunction="custom" dataDxfId="765" totalsRowDxfId="764">
      <totalsRowFormula>SUBTOTAL(9,Tabelle647[Gesamt])</totalsRowFormula>
    </tableColumn>
  </tableColumns>
  <tableStyleInfo name="TableStyleLight2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90A13B7-B6F7-4DDA-8692-59FF443C3821}" name="Tabelle410" displayName="Tabelle410" ref="R35:AC58" totalsRowCount="1" headerRowDxfId="763" dataDxfId="762" totalsRowDxfId="761">
  <autoFilter ref="R35:AC57" xr:uid="{99887CDA-11A8-41F9-A93B-C715B17331CA}"/>
  <tableColumns count="12">
    <tableColumn id="13" xr3:uid="{F2867CD5-07C0-4A67-BE63-FE402DAD2B70}" name="Lfd. Nr." dataDxfId="760" totalsRowDxfId="759">
      <calculatedColumnFormula>ROW(A1)</calculatedColumnFormula>
    </tableColumn>
    <tableColumn id="1" xr3:uid="{98088054-DFF3-4807-8354-B398631062FD}" name="Beschreibung/ Kurzbezeichnung" totalsRowLabel="Gesamt:  " dataDxfId="758" totalsRowDxfId="757"/>
    <tableColumn id="2" xr3:uid="{A643669B-7609-44B2-A5B0-5E1CD0161682}" name="Teilnahmebeiträge Fachseminare" totalsRowFunction="custom" dataDxfId="756" totalsRowDxfId="755">
      <totalsRowFormula>SUBTOTAL(9,Tabelle410[Teilnahmebeiträge Fachseminare])</totalsRowFormula>
    </tableColumn>
    <tableColumn id="3" xr3:uid="{382D3398-4A22-43E4-AD73-5E45C683B28C}" name="Teilnahmebeiträge Veranstaltungen" totalsRowFunction="custom" dataDxfId="754" totalsRowDxfId="753">
      <totalsRowFormula>SUBTOTAL(9,Tabelle410[Teilnahmebeiträge Veranstaltungen])</totalsRowFormula>
    </tableColumn>
    <tableColumn id="4" xr3:uid="{5D7A5A0B-7CBA-4C90-9B89-4D226DA3EE79}" name="Sonstige Einnahmen" totalsRowFunction="custom" dataDxfId="752" totalsRowDxfId="751">
      <totalsRowFormula>SUBTOTAL(9,Tabelle410[Sonstige Einnahmen])</totalsRowFormula>
    </tableColumn>
    <tableColumn id="5" xr3:uid="{957614A2-D1BB-4850-A3E9-9A36D51C6E93}" name="Honorare Dozierende Fachseminare" totalsRowFunction="custom" dataDxfId="750" totalsRowDxfId="749">
      <totalsRowFormula>SUBTOTAL(9,Tabelle410[Honorare Dozierende Fachseminare])</totalsRowFormula>
    </tableColumn>
    <tableColumn id="6" xr3:uid="{F915CBF2-748F-42F2-9FF7-413BB9C8B82F}" name="Aufwandsentschädigungen" totalsRowFunction="custom" dataDxfId="748" totalsRowDxfId="747">
      <totalsRowFormula>SUBTOTAL(9,Tabelle410[Aufwandsentschädigungen])</totalsRowFormula>
    </tableColumn>
    <tableColumn id="7" xr3:uid="{B2EB4172-07B4-47BE-8CE9-C2728B7488EC}" name="Externe Reisekosten" totalsRowFunction="custom" dataDxfId="746" totalsRowDxfId="745">
      <totalsRowFormula>SUBTOTAL(9,Tabelle410[Externe Reisekosten])</totalsRowFormula>
    </tableColumn>
    <tableColumn id="8" xr3:uid="{63CFEDD9-382A-4771-8295-3FD0FCCD78E1}" name="Repräsentation/Bewirtung extern" totalsRowFunction="custom" dataDxfId="744" totalsRowDxfId="743">
      <totalsRowFormula>SUBTOTAL(9,Tabelle410[Repräsentation/Bewirtung extern])</totalsRowFormula>
    </tableColumn>
    <tableColumn id="9" xr3:uid="{7FDFDBFB-6439-4ABA-8010-F595A078F05F}" name="Raum + Unterkunft extern" totalsRowFunction="custom" dataDxfId="742" totalsRowDxfId="741">
      <totalsRowFormula>SUBTOTAL(9,Tabelle410[Raum + Unterkunft extern])</totalsRowFormula>
    </tableColumn>
    <tableColumn id="10" xr3:uid="{B500316E-DF67-401B-AAE3-1331BD429CC3}" name="Verwaltungs- und Druckkosten" totalsRowFunction="custom" dataDxfId="740" totalsRowDxfId="739">
      <totalsRowFormula>SUBTOTAL(9,Tabelle410[Verwaltungs- und Druckkosten])</totalsRowFormula>
    </tableColumn>
    <tableColumn id="11" xr3:uid="{BA9167C9-D7F8-4E43-B865-7637C64DC31E}" name="Gesamt" totalsRowFunction="custom" dataDxfId="738" totalsRowDxfId="737">
      <totalsRowFormula>SUBTOTAL(9,Tabelle410[Gesamt])</totalsRowFormula>
    </tableColumn>
  </tableColumns>
  <tableStyleInfo name="TableStyleLight1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484F478-4AFB-4C40-B0DB-46FF02167ED0}" name="Tabelle513" displayName="Tabelle513" ref="R63:AF76" totalsRowCount="1" headerRowDxfId="736" dataDxfId="735" totalsRowDxfId="734">
  <autoFilter ref="R63:AF75" xr:uid="{013EA9C5-7A45-4E8F-94A3-9D04C72F17FB}"/>
  <tableColumns count="15">
    <tableColumn id="14" xr3:uid="{0DCF14F0-A08F-4172-B123-EA8549EB72D3}" name="Lfd. Nr." dataDxfId="733" totalsRowDxfId="732">
      <calculatedColumnFormula>ROW(A1)</calculatedColumnFormula>
    </tableColumn>
    <tableColumn id="1" xr3:uid="{E0FA3EF0-47AC-4D58-A7B4-2CB4C0530D42}" name="Beschreibung" totalsRowLabel="Gesamt:  " dataDxfId="731" totalsRowDxfId="730"/>
    <tableColumn id="2" xr3:uid="{F149F61C-B621-4C79-AB5A-5102AF7B9573}" name="Teilnahmebeiträge Veranstaltungen" totalsRowFunction="custom" dataDxfId="729" totalsRowDxfId="728">
      <totalsRowFormula>SUBTOTAL(9,Tabelle513[Teilnahmebeiträge Veranstaltungen])</totalsRowFormula>
    </tableColumn>
    <tableColumn id="3" xr3:uid="{067927D0-E4A3-478C-A23B-D5E747528FA2}" name="Sonstige Einnahmen" totalsRowFunction="custom" dataDxfId="727" totalsRowDxfId="726">
      <totalsRowFormula>SUBTOTAL(9,Tabelle513[Sonstige Einnahmen])</totalsRowFormula>
    </tableColumn>
    <tableColumn id="4" xr3:uid="{6E7A8FC9-9350-402A-ACA5-CEA832FEB868}" name="Aufwandsentschädigungen" totalsRowFunction="custom" dataDxfId="725" totalsRowDxfId="724">
      <totalsRowFormula>SUBTOTAL(9,Tabelle513[Aufwandsentschädigungen])</totalsRowFormula>
    </tableColumn>
    <tableColumn id="5" xr3:uid="{0F32919E-02A7-408E-B039-38254DA7DDAC}" name="Interne Reisekosten" totalsRowFunction="custom" dataDxfId="723" totalsRowDxfId="722">
      <totalsRowFormula>SUBTOTAL(9,Tabelle513[Interne Reisekosten])</totalsRowFormula>
    </tableColumn>
    <tableColumn id="6" xr3:uid="{29E58DFC-948A-4F51-AC42-2D1037404B71}" name="Raum + Unterkunft intern" totalsRowFunction="custom" dataDxfId="721" totalsRowDxfId="720">
      <totalsRowFormula>SUBTOTAL(9,Tabelle513[Raum + Unterkunft intern])</totalsRowFormula>
    </tableColumn>
    <tableColumn id="7" xr3:uid="{3C95C316-CCE7-4BEC-BA4C-E08344AC636B}" name="Repräsentation/Bewirtung intern" totalsRowFunction="custom" dataDxfId="719" totalsRowDxfId="718">
      <totalsRowFormula>SUBTOTAL(9,Tabelle513[Repräsentation/Bewirtung intern])</totalsRowFormula>
    </tableColumn>
    <tableColumn id="8" xr3:uid="{62ACB82A-5BE8-4F24-9D7B-5307888CF71C}" name="Repräsentation/Bewirtung extern" totalsRowFunction="custom" dataDxfId="717" totalsRowDxfId="716">
      <totalsRowFormula>SUBTOTAL(9,Tabelle513[Repräsentation/Bewirtung extern])</totalsRowFormula>
    </tableColumn>
    <tableColumn id="9" xr3:uid="{4B9D2BC3-800C-4F3E-BDD6-EE3A8A8E129A}" name="Raum + Unterkunft extern" totalsRowFunction="custom" dataDxfId="715" totalsRowDxfId="714">
      <totalsRowFormula>SUBTOTAL(9,Tabelle513[Raum + Unterkunft extern])</totalsRowFormula>
    </tableColumn>
    <tableColumn id="10" xr3:uid="{D68B7F77-637F-42F7-8B65-B56A780CDCAD}" name="Druckkosten" totalsRowFunction="custom" dataDxfId="713" totalsRowDxfId="712">
      <totalsRowFormula>SUBTOTAL(9,Tabelle513[Druckkosten])</totalsRowFormula>
    </tableColumn>
    <tableColumn id="11" xr3:uid="{D7A7CEB2-38A1-44D9-865C-49B3984866B8}" name="Sonstige Kosten" totalsRowFunction="custom" dataDxfId="711" totalsRowDxfId="710">
      <totalsRowFormula>SUBTOTAL(9,Tabelle513[Sonstige Kosten])</totalsRowFormula>
    </tableColumn>
    <tableColumn id="12" xr3:uid="{A736B17E-E473-4E6E-99E8-45F05B586DED}" name="Rechtsangelegenheiten" totalsRowFunction="custom" dataDxfId="709" totalsRowDxfId="708">
      <totalsRowFormula>SUBTOTAL(9,Tabelle513[Rechtsangelegenheiten])</totalsRowFormula>
    </tableColumn>
    <tableColumn id="15" xr3:uid="{9DCCCF5C-2111-4748-8A2F-7D89C2634E89}" name="Andere Honorare" totalsRowFunction="sum" dataDxfId="707" totalsRowDxfId="706"/>
    <tableColumn id="13" xr3:uid="{242EF733-4F63-494F-8802-CF654233CDFB}" name="Gesamt" totalsRowFunction="custom" dataDxfId="705" totalsRowDxfId="704">
      <calculatedColumnFormula>SUM(T64:U64)-SUM(W64:AE64)</calculatedColumnFormula>
      <totalsRowFormula>SUBTOTAL(9,Tabelle513[Gesamt])</totalsRowFormula>
    </tableColumn>
  </tableColumns>
  <tableStyleInfo name="TableStyleLight16"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27D0E3-6948-4B21-8707-8FED3E3EBFC4}" name="Tabelle615" displayName="Tabelle615" ref="R81:Z93" totalsRowCount="1" headerRowDxfId="703" dataDxfId="702" totalsRowDxfId="701" dataCellStyle="Link">
  <autoFilter ref="R81:Z92" xr:uid="{43A09B6F-448F-435C-872B-DB9622B39E76}"/>
  <tableColumns count="9">
    <tableColumn id="1" xr3:uid="{23EFC8B9-A3ED-42B3-9557-85B41DD801A4}" name="Lfd. Nr. " dataDxfId="700" totalsRowDxfId="699">
      <calculatedColumnFormula>ROW(A1)</calculatedColumnFormula>
    </tableColumn>
    <tableColumn id="8" xr3:uid="{96741CD3-5D24-4770-9B50-8AAF5868B2FA}" name="Sitzung/Tätigkeit" dataDxfId="698" totalsRowDxfId="697"/>
    <tableColumn id="9" xr3:uid="{13CBF71B-6B10-4BD1-9220-B6059A633B73}" name="Ort oder Datum (falls bekannt)" dataDxfId="696" totalsRowDxfId="695"/>
    <tableColumn id="7" xr3:uid="{E6AE19AA-4CA7-4FFB-9B07-656495CE6D1F}" name="Art" totalsRowLabel="Gesamt:  " dataDxfId="694" totalsRowDxfId="693"/>
    <tableColumn id="2" xr3:uid="{E8B52731-3D9D-4638-800C-7B94B333B6D1}" name="Aufwandsentschädigungen" totalsRowFunction="custom" dataDxfId="692" totalsRowDxfId="691" dataCellStyle="Link">
      <totalsRowFormula>SUBTOTAL(9,Tabelle615[Aufwandsentschädigungen])</totalsRowFormula>
    </tableColumn>
    <tableColumn id="3" xr3:uid="{C2ED8CBD-2FDD-4815-9575-5A817B19A2FD}" name="Interne Reisekosten" totalsRowFunction="custom" dataDxfId="690" totalsRowDxfId="689" dataCellStyle="Link">
      <totalsRowFormula>SUBTOTAL(9,Tabelle615[Interne Reisekosten])</totalsRowFormula>
    </tableColumn>
    <tableColumn id="4" xr3:uid="{A572FA48-3B1A-4BE7-965A-3CEE81D93B20}" name="Raum + Unterkunft intern" totalsRowFunction="custom" dataDxfId="688" totalsRowDxfId="687" dataCellStyle="Link">
      <totalsRowFormula>SUBTOTAL(9,Tabelle615[Raum + Unterkunft intern])</totalsRowFormula>
    </tableColumn>
    <tableColumn id="5" xr3:uid="{8DF77E82-7F14-406F-B8EF-1ADE11181679}" name="Repräsentation/Bewirtung intern" totalsRowFunction="custom" dataDxfId="686" totalsRowDxfId="685" dataCellStyle="Link">
      <totalsRowFormula>SUBTOTAL(9,Tabelle615[Repräsentation/Bewirtung intern])</totalsRowFormula>
    </tableColumn>
    <tableColumn id="6" xr3:uid="{7C7937C2-CEA6-43CE-B9CC-3D6E80D6DA3D}" name="Gesamt" totalsRowFunction="custom" dataDxfId="684" totalsRowDxfId="683">
      <totalsRowFormula>SUBTOTAL(9,Tabelle615[Gesamt])</totalsRowFormula>
    </tableColumn>
  </tableColumns>
  <tableStyleInfo name="TableStyleLight2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8BBDF13-78BE-4675-9663-D5E232AF8E37}" name="Tabelle1822" displayName="Tabelle1822" ref="A3:L23" totalsRowCount="1" headerRowDxfId="682" dataDxfId="680" totalsRowDxfId="678" headerRowBorderDxfId="681" tableBorderDxfId="679">
  <autoFilter ref="A3:L22" xr:uid="{E31AE468-1510-4678-9C28-8A5337B561D8}"/>
  <tableColumns count="12">
    <tableColumn id="1" xr3:uid="{1F8015DF-83B0-4320-9576-A182D55C4C7E}" name="Titel" dataDxfId="677" totalsRowDxfId="676"/>
    <tableColumn id="2" xr3:uid="{A907C9D4-F594-4056-B1C6-13512B0257F5}" name="Kontenbezeichnung" dataDxfId="675" totalsRowDxfId="674"/>
    <tableColumn id="3" xr3:uid="{4AE24833-38A8-4CFF-9F38-150E79732116}" name="-" dataDxfId="673" totalsRowDxfId="672"/>
    <tableColumn id="4" xr3:uid="{6357C6B1-87D1-4A23-915E-9BA8BC0E4623}" name="Erläuterung" totalsRowLabel="Gesamt:" dataDxfId="671" totalsRowDxfId="670"/>
    <tableColumn id="10" xr3:uid="{0E55DBAB-F67E-4F30-8F40-00F46134F1BA}" name="Freie Eingabe HHHJ 23-24" totalsRowFunction="custom" dataDxfId="669" totalsRowDxfId="668">
      <totalsRowFormula>SUBTOTAL(109,E10:E22)</totalsRowFormula>
    </tableColumn>
    <tableColumn id="6" xr3:uid="{19F9794F-8F31-4E64-9240-E8ACB71096F1}" name="Rechnung HHJ 23-24" totalsRowFunction="custom" dataDxfId="667" totalsRowDxfId="666">
      <totalsRowFormula>SUBTOTAL(109,F10:F22)</totalsRowFormula>
    </tableColumn>
    <tableColumn id="13" xr3:uid="{06F982DC-C3E0-46C2-B5A3-BCE6A8E61996}" name="Freie Eingabe Plan 22-23" totalsRowFunction="custom" dataDxfId="665" totalsRowDxfId="664">
      <totalsRowFormula>SUBTOTAL(109,G10:G22)</totalsRowFormula>
    </tableColumn>
    <tableColumn id="11" xr3:uid="{6CF0B560-B5E4-4550-945F-043DD9B0EEBE}" name="Rechnung HHJ 22-23" totalsRowFunction="custom" dataDxfId="663" totalsRowDxfId="662">
      <totalsRowFormula>SUBTOTAL(109,H10:H22)</totalsRowFormula>
    </tableColumn>
    <tableColumn id="5" xr3:uid="{F00CE64F-D2A9-4C86-9FC1-BDB9935982CC}" name="Freie Eingabe Plan HHJ 21-22" totalsRowFunction="custom" dataDxfId="661" totalsRowDxfId="660">
      <totalsRowFormula>SUBTOTAL(109,I10:I22)</totalsRowFormula>
    </tableColumn>
    <tableColumn id="7" xr3:uid="{F23ECC15-0AD3-46CB-AF70-2F54AA56C0CD}" name="IST HHJ 21-22" totalsRowFunction="custom" dataDxfId="659" totalsRowDxfId="658">
      <totalsRowFormula>SUBTOTAL(109,J10:J22)</totalsRowFormula>
    </tableColumn>
    <tableColumn id="8" xr3:uid="{6B4C3A9E-3D25-42D5-87B9-28AC83089AF2}" name="Abschluss 20-21" dataDxfId="657" totalsRowDxfId="656"/>
    <tableColumn id="9" xr3:uid="{BF201090-C9CB-4E8D-A996-331047A1B0CB}" name="Plan HHJ 20-21" dataDxfId="655" totalsRowDxfId="65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AA9B06-AA18-471F-BCE3-0F527940572E}" name="Tabelle3" displayName="Tabelle3" ref="A4:F11" totalsRowShown="0" headerRowDxfId="1230" dataDxfId="1228" headerRowBorderDxfId="1229" tableBorderDxfId="1227" totalsRowBorderDxfId="1226">
  <autoFilter ref="A4:F11" xr:uid="{5B4805D6-850D-46CC-BF90-FDBF1D88AA86}"/>
  <tableColumns count="6">
    <tableColumn id="1" xr3:uid="{E9EAB14B-7BDD-45DF-BEF0-C19CA837B913}" name="Vertrag Nr." dataDxfId="1225"/>
    <tableColumn id="2" xr3:uid="{4EDDA1D2-CF8F-473F-83A3-9D41D79039F1}" name="Vertragsinhalt*" dataDxfId="1224"/>
    <tableColumn id="3" xr3:uid="{0724BD1E-3AFB-4CD2-8F3A-6B22AAA3A3F1}" name="Vertragspartner" dataDxfId="1223"/>
    <tableColumn id="4" xr3:uid="{9CA8EBCD-3894-4B12-8EBA-E5D7EBB25826}" name="Beträge/Budget" dataDxfId="1222"/>
    <tableColumn id="6" xr3:uid="{A4AAA1F1-26FB-47C8-815C-4104ED5DA6E1}" name="Titel" dataDxfId="1221"/>
    <tableColumn id="5" xr3:uid="{65280875-44A1-4622-978B-CF2CD6D8E6A1}" name="Laufzeit" dataDxfId="1220"/>
  </tableColumns>
  <tableStyleInfo name="TableStyleLight20"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113F9838-B51E-4DA5-9685-30651A40DEC7}" name="Tabelle41048" displayName="Tabelle41048" ref="A35:L58" totalsRowCount="1" headerRowDxfId="653" dataDxfId="652" totalsRowDxfId="651">
  <autoFilter ref="A35:L57" xr:uid="{113F9838-B51E-4DA5-9685-30651A40DEC7}"/>
  <tableColumns count="12">
    <tableColumn id="13" xr3:uid="{2AD20BB7-7DB0-47D2-BCB2-DB0E0A8D7115}" name="Lfd. Nr." dataDxfId="650" totalsRowDxfId="649">
      <calculatedColumnFormula>ROW(#REF!)</calculatedColumnFormula>
    </tableColumn>
    <tableColumn id="1" xr3:uid="{FD362D2D-C422-4772-AB75-703486925F41}" name="Beschreibung/ Kurzbezeichnung" totalsRowLabel="Gesamt:  " dataDxfId="648" totalsRowDxfId="647"/>
    <tableColumn id="2" xr3:uid="{43982CA4-D731-486F-B21C-AFEC16867E4D}" name="Teilnahmebeiträge Fachseminare" totalsRowFunction="custom" dataDxfId="646" totalsRowDxfId="645">
      <totalsRowFormula>SUBTOTAL(9,Tabelle41048[Teilnahmebeiträge Fachseminare])</totalsRowFormula>
    </tableColumn>
    <tableColumn id="3" xr3:uid="{D3529D6A-4F74-40A5-B1C9-CD2C4AB2EB98}" name="Teilnahmebeiträge Veranstaltungen" totalsRowFunction="custom" dataDxfId="644" totalsRowDxfId="643">
      <totalsRowFormula>SUBTOTAL(9,Tabelle41048[Teilnahmebeiträge Veranstaltungen])</totalsRowFormula>
    </tableColumn>
    <tableColumn id="4" xr3:uid="{082CF494-DF81-48CF-B1C7-6D92C14917A1}" name="Sonstige Einnahmen" totalsRowFunction="custom" dataDxfId="642" totalsRowDxfId="641">
      <totalsRowFormula>SUBTOTAL(9,Tabelle41048[Sonstige Einnahmen])</totalsRowFormula>
    </tableColumn>
    <tableColumn id="5" xr3:uid="{096C8084-F4B1-4B52-8596-7056CE141D82}" name="Honorare Dozierende Fachseminare" totalsRowFunction="custom" dataDxfId="640" totalsRowDxfId="639">
      <totalsRowFormula>SUBTOTAL(9,Tabelle41048[Honorare Dozierende Fachseminare])</totalsRowFormula>
    </tableColumn>
    <tableColumn id="6" xr3:uid="{820CE504-228E-40E1-9083-A0E4E6A8E069}" name="Aufwandsentschädigungen" totalsRowFunction="custom" dataDxfId="638" totalsRowDxfId="637">
      <totalsRowFormula>SUBTOTAL(9,Tabelle41048[Aufwandsentschädigungen])</totalsRowFormula>
    </tableColumn>
    <tableColumn id="7" xr3:uid="{EB9D750B-8026-46BB-ADA7-06971003D3D6}" name="Externe Reisekosten" totalsRowFunction="custom" dataDxfId="636" totalsRowDxfId="635">
      <totalsRowFormula>SUBTOTAL(9,Tabelle41048[Externe Reisekosten])</totalsRowFormula>
    </tableColumn>
    <tableColumn id="8" xr3:uid="{EDD8D0ED-C643-4D9F-AAAF-6CD7BA186C60}" name="Repräsentation/Bewirtung extern" totalsRowFunction="custom" dataDxfId="634" totalsRowDxfId="633">
      <totalsRowFormula>SUBTOTAL(9,Tabelle41048[Repräsentation/Bewirtung extern])</totalsRowFormula>
    </tableColumn>
    <tableColumn id="9" xr3:uid="{DE57ED42-A5CD-4578-B1D8-49FF0EAE93C0}" name="Raum + Unterkunft extern" totalsRowFunction="custom" dataDxfId="632" totalsRowDxfId="631">
      <totalsRowFormula>SUBTOTAL(9,Tabelle41048[Raum + Unterkunft extern])</totalsRowFormula>
    </tableColumn>
    <tableColumn id="10" xr3:uid="{77571919-0C80-460B-89DB-E7BAFAC110EC}" name="Verwaltungs- und Druckkosten" totalsRowFunction="custom" dataDxfId="630" totalsRowDxfId="629">
      <totalsRowFormula>SUBTOTAL(9,Tabelle41048[Verwaltungs- und Druckkosten])</totalsRowFormula>
    </tableColumn>
    <tableColumn id="11" xr3:uid="{0D4133A2-745B-45B3-9CC5-2E8FBDD5280F}" name="Gesamt" totalsRowFunction="custom" dataDxfId="628" totalsRowDxfId="627">
      <totalsRowFormula>SUBTOTAL(9,Tabelle41048[Gesamt])</totalsRowFormula>
    </tableColumn>
  </tableColumns>
  <tableStyleInfo name="TableStyleLight19"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14ADDDDE-F69E-4204-B1E3-EABB4B66FB64}" name="Tabelle51349" displayName="Tabelle51349" ref="A63:O76" totalsRowCount="1" headerRowDxfId="626" dataDxfId="625" totalsRowDxfId="624">
  <autoFilter ref="A63:O75" xr:uid="{14ADDDDE-F69E-4204-B1E3-EABB4B66FB64}"/>
  <tableColumns count="15">
    <tableColumn id="14" xr3:uid="{DE4E5C5E-38B6-496F-BA50-7A9103FF5DEC}" name="Lfd. Nr." dataDxfId="623" totalsRowDxfId="622">
      <calculatedColumnFormula>ROW(A1)</calculatedColumnFormula>
    </tableColumn>
    <tableColumn id="1" xr3:uid="{2117E582-CCFB-41CE-A4F0-19274D653FC5}" name="Beschreibung" totalsRowLabel="Gesamt:  " dataDxfId="621" totalsRowDxfId="620"/>
    <tableColumn id="2" xr3:uid="{23A120D4-AA61-479C-BEFB-71E030AE93AF}" name="Teilnahmebeiträge Veranstaltungen" totalsRowFunction="custom" dataDxfId="619" totalsRowDxfId="618">
      <totalsRowFormula>SUBTOTAL(9,Tabelle51349[Teilnahmebeiträge Veranstaltungen])</totalsRowFormula>
    </tableColumn>
    <tableColumn id="3" xr3:uid="{E1B9AF3B-C03B-4AF4-A369-C5893DE7D193}" name="Sonstige Einnahmen" totalsRowFunction="custom" dataDxfId="617" totalsRowDxfId="616">
      <totalsRowFormula>SUBTOTAL(9,Tabelle51349[Sonstige Einnahmen])</totalsRowFormula>
    </tableColumn>
    <tableColumn id="4" xr3:uid="{88523923-C0BA-465E-982A-97C71C0141F3}" name="Aufwandsentschädigungen" totalsRowFunction="custom" dataDxfId="615" totalsRowDxfId="614">
      <totalsRowFormula>SUBTOTAL(9,Tabelle51349[Aufwandsentschädigungen])</totalsRowFormula>
    </tableColumn>
    <tableColumn id="5" xr3:uid="{CC583FB4-7225-42EA-B509-BC698556DF18}" name="Interne Reisekosten" totalsRowFunction="custom" dataDxfId="613" totalsRowDxfId="612">
      <totalsRowFormula>SUBTOTAL(9,Tabelle51349[Interne Reisekosten])</totalsRowFormula>
    </tableColumn>
    <tableColumn id="6" xr3:uid="{70E54E11-DDCA-4657-B7EE-AFE46F10E5C8}" name="Raum + Unterkunft intern" totalsRowFunction="custom" dataDxfId="611" totalsRowDxfId="610">
      <totalsRowFormula>SUBTOTAL(9,Tabelle51349[Raum + Unterkunft intern])</totalsRowFormula>
    </tableColumn>
    <tableColumn id="7" xr3:uid="{C20CB7AF-BB23-42AC-87A2-8145C205773C}" name="Repräsentation/Bewirtung intern" totalsRowFunction="custom" dataDxfId="609" totalsRowDxfId="608">
      <totalsRowFormula>SUBTOTAL(9,Tabelle51349[Repräsentation/Bewirtung intern])</totalsRowFormula>
    </tableColumn>
    <tableColumn id="8" xr3:uid="{AB0D3CEB-F4A2-46B3-B0E8-868FD8EF8DC0}" name="Repräsentation/Bewirtung extern" totalsRowFunction="custom" dataDxfId="607" totalsRowDxfId="606">
      <totalsRowFormula>SUBTOTAL(9,Tabelle51349[Repräsentation/Bewirtung extern])</totalsRowFormula>
    </tableColumn>
    <tableColumn id="9" xr3:uid="{82CB6231-7A44-462F-A583-D4F2F910E5D0}" name="Raum + Unterkunft extern" totalsRowFunction="custom" dataDxfId="605" totalsRowDxfId="604">
      <totalsRowFormula>SUBTOTAL(9,Tabelle51349[Raum + Unterkunft extern])</totalsRowFormula>
    </tableColumn>
    <tableColumn id="10" xr3:uid="{767C9841-0C2D-41F6-951A-269B9E428BF9}" name="Druckkosten" totalsRowFunction="custom" dataDxfId="603" totalsRowDxfId="602">
      <totalsRowFormula>SUBTOTAL(9,Tabelle51349[Druckkosten])</totalsRowFormula>
    </tableColumn>
    <tableColumn id="11" xr3:uid="{BE688716-D246-442D-90EA-720F0B6E5B12}" name="Sonstige Kosten" totalsRowFunction="custom" dataDxfId="601" totalsRowDxfId="600">
      <totalsRowFormula>SUBTOTAL(9,Tabelle51349[Sonstige Kosten])</totalsRowFormula>
    </tableColumn>
    <tableColumn id="12" xr3:uid="{1FC90211-9D30-4BA9-9AF5-61676BFE2348}" name="Rechtsangelegenheiten" totalsRowFunction="custom" dataDxfId="599" totalsRowDxfId="598">
      <totalsRowFormula>SUBTOTAL(9,Tabelle51349[Rechtsangelegenheiten])</totalsRowFormula>
    </tableColumn>
    <tableColumn id="15" xr3:uid="{795851FB-6C8C-483B-B181-CD0434326EF7}" name="Andere Honorare" totalsRowFunction="sum" dataDxfId="597" totalsRowDxfId="596"/>
    <tableColumn id="13" xr3:uid="{7E4470DC-0DB8-4FBF-89EC-4E4EE83652A9}" name="Gesamt" totalsRowFunction="custom" dataDxfId="595" totalsRowDxfId="594">
      <calculatedColumnFormula>SUM(C64:D64)-SUM(F64:N64)</calculatedColumnFormula>
      <totalsRowFormula>SUBTOTAL(9,Tabelle51349[Gesamt])</totalsRowFormula>
    </tableColumn>
  </tableColumns>
  <tableStyleInfo name="TableStyleLight16"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C9662D45-7144-4F92-99C9-2B3757D46C2C}" name="Tabelle61550" displayName="Tabelle61550" ref="A81:I93" totalsRowCount="1" headerRowDxfId="593" dataDxfId="592" totalsRowDxfId="591" dataCellStyle="Link">
  <autoFilter ref="A81:I92" xr:uid="{C9662D45-7144-4F92-99C9-2B3757D46C2C}"/>
  <tableColumns count="9">
    <tableColumn id="1" xr3:uid="{AD880C5D-CDEA-46B6-A941-A798AF9970B4}" name="Lfd. Nr. " dataDxfId="590" totalsRowDxfId="589">
      <calculatedColumnFormula>ROW(#REF!)</calculatedColumnFormula>
    </tableColumn>
    <tableColumn id="8" xr3:uid="{A6FBFD5E-2DD4-41A8-9C0B-2DB60FCF2319}" name="Sitzung/Tätigkeit" dataDxfId="588" totalsRowDxfId="587"/>
    <tableColumn id="9" xr3:uid="{835842E2-A24E-4E31-9BF8-4772E7738416}" name="Ort oder Datum (falls bekannt)" dataDxfId="586" totalsRowDxfId="585"/>
    <tableColumn id="7" xr3:uid="{36ADDF81-4415-469D-ACBF-ABB4F2B39A8C}" name="Art" totalsRowLabel="Gesamt:  " dataDxfId="584" totalsRowDxfId="583"/>
    <tableColumn id="2" xr3:uid="{21A8E7E1-1C9C-4F1A-A374-33478E6DF882}" name="Aufwandsentschädigungen" totalsRowFunction="custom" dataDxfId="582" totalsRowDxfId="581" dataCellStyle="Link">
      <totalsRowFormula>SUBTOTAL(9,Tabelle61550[Aufwandsentschädigungen])</totalsRowFormula>
    </tableColumn>
    <tableColumn id="3" xr3:uid="{EF4A4693-2A0A-4CE4-A78F-08100FEEF7FA}" name="Interne Reisekosten" totalsRowFunction="custom" dataDxfId="580" totalsRowDxfId="579" dataCellStyle="Link">
      <totalsRowFormula>SUBTOTAL(9,Tabelle61550[Interne Reisekosten])</totalsRowFormula>
    </tableColumn>
    <tableColumn id="4" xr3:uid="{0D5D02F9-E668-402B-A978-08D10FFBF907}" name="Raum + Unterkunft intern" totalsRowFunction="custom" dataDxfId="578" totalsRowDxfId="577" dataCellStyle="Link">
      <totalsRowFormula>SUBTOTAL(9,Tabelle61550[Raum + Unterkunft intern])</totalsRowFormula>
    </tableColumn>
    <tableColumn id="5" xr3:uid="{9952E4BD-C10B-4A2A-A86B-06D013F052B2}" name="Repräsentation/Bewirtung intern" totalsRowFunction="custom" dataDxfId="576" totalsRowDxfId="575" dataCellStyle="Link">
      <totalsRowFormula>SUBTOTAL(9,Tabelle61550[Repräsentation/Bewirtung intern])</totalsRowFormula>
    </tableColumn>
    <tableColumn id="6" xr3:uid="{E8880AE8-7319-4EE4-B30D-8ACF35806EB7}" name="Gesamt" totalsRowFunction="custom" dataDxfId="574" totalsRowDxfId="573">
      <calculatedColumnFormula>SUM(E82:H82)</calculatedColumnFormula>
      <totalsRowFormula>SUBTOTAL(9,Tabelle61550[Gesamt])</totalsRowFormula>
    </tableColumn>
  </tableColumns>
  <tableStyleInfo name="TableStyleLight2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0E75D82-7AA2-45D0-A7FA-13C948C1EAB7}" name="Tabelle41023" displayName="Tabelle41023" ref="R35:AC44" totalsRowCount="1" headerRowDxfId="572" dataDxfId="571" totalsRowDxfId="570">
  <autoFilter ref="R35:AC43" xr:uid="{99887CDA-11A8-41F9-A93B-C715B17331CA}"/>
  <tableColumns count="12">
    <tableColumn id="13" xr3:uid="{3D4E34CA-376B-478D-967E-67D2DDE06F22}" name="Lfd. Nr." dataDxfId="569" totalsRowDxfId="568">
      <calculatedColumnFormula>ROW(A1)</calculatedColumnFormula>
    </tableColumn>
    <tableColumn id="1" xr3:uid="{DE986AB3-8705-4330-9D69-04AE9FDE32EB}" name="Beschreibung/ Kurzbezeichnung" totalsRowLabel="Gesamt:  " dataDxfId="567" totalsRowDxfId="566"/>
    <tableColumn id="2" xr3:uid="{2F97BC54-AA00-457E-9FB4-3E8984A52F82}" name="Teilnahmebeiträge Fachseminare" totalsRowFunction="custom" dataDxfId="565" totalsRowDxfId="564">
      <totalsRowFormula>SUBTOTAL(9,Tabelle41023[Teilnahmebeiträge Fachseminare])</totalsRowFormula>
    </tableColumn>
    <tableColumn id="3" xr3:uid="{1C3A7F08-E12E-4F51-85CB-DE5D7C7BA2D2}" name="Teilnahmebeiträge Veranstaltungen" totalsRowFunction="custom" dataDxfId="563" totalsRowDxfId="562">
      <totalsRowFormula>SUBTOTAL(9,Tabelle41023[Teilnahmebeiträge Veranstaltungen])</totalsRowFormula>
    </tableColumn>
    <tableColumn id="4" xr3:uid="{A3873251-E7F6-4FB1-A6EB-0035A0E260A9}" name="Sonstige Einnahmen" totalsRowFunction="custom" dataDxfId="561" totalsRowDxfId="560">
      <totalsRowFormula>SUBTOTAL(9,Tabelle41023[Sonstige Einnahmen])</totalsRowFormula>
    </tableColumn>
    <tableColumn id="5" xr3:uid="{B59A990B-0042-443F-9FD5-652A6BE58553}" name="Honorare Dozierende Fachseminare" totalsRowFunction="custom" dataDxfId="559" totalsRowDxfId="558">
      <totalsRowFormula>SUBTOTAL(9,Tabelle41023[Honorare Dozierende Fachseminare])</totalsRowFormula>
    </tableColumn>
    <tableColumn id="6" xr3:uid="{CD45176F-5DBD-433D-88C7-4CDE88D2B146}" name="Aufwandsentschädigungen" totalsRowFunction="custom" dataDxfId="557" totalsRowDxfId="556">
      <totalsRowFormula>SUBTOTAL(9,Tabelle41023[Aufwandsentschädigungen])</totalsRowFormula>
    </tableColumn>
    <tableColumn id="7" xr3:uid="{387D8FD1-7845-49B9-8FD7-59E6438F52BC}" name="Externe Reisekosten" totalsRowFunction="custom" dataDxfId="555" totalsRowDxfId="554">
      <totalsRowFormula>SUBTOTAL(9,Tabelle41023[Externe Reisekosten])</totalsRowFormula>
    </tableColumn>
    <tableColumn id="8" xr3:uid="{52B27BD8-D593-4389-BC66-0967AD89F7ED}" name="Repräsentation/Bewirtung extern" totalsRowFunction="custom" dataDxfId="553" totalsRowDxfId="552">
      <totalsRowFormula>SUBTOTAL(9,Tabelle41023[Repräsentation/Bewirtung extern])</totalsRowFormula>
    </tableColumn>
    <tableColumn id="9" xr3:uid="{A7FBCA66-4F19-4F4D-B69E-861CBE5D7662}" name="Raum + Unterkunft extern" totalsRowFunction="custom" dataDxfId="551" totalsRowDxfId="550">
      <totalsRowFormula>SUBTOTAL(9,Tabelle41023[Raum + Unterkunft extern])</totalsRowFormula>
    </tableColumn>
    <tableColumn id="10" xr3:uid="{54D8DAEB-3C5F-48D5-A561-7AF8E57A3944}" name="Verwaltungs- und Druckkosten" totalsRowFunction="custom" dataDxfId="549" totalsRowDxfId="548">
      <totalsRowFormula>SUBTOTAL(9,Tabelle41023[Verwaltungs- und Druckkosten])</totalsRowFormula>
    </tableColumn>
    <tableColumn id="11" xr3:uid="{05A7963A-895B-4382-B4DD-72685E92FC38}" name="Gesamt" totalsRowFunction="custom" dataDxfId="547" totalsRowDxfId="546">
      <totalsRowFormula>SUBTOTAL(9,Tabelle41023[Gesamt])</totalsRowFormula>
    </tableColumn>
  </tableColumns>
  <tableStyleInfo name="TableStyleLight19"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E55F0CB-5A09-4082-9514-E7625178894A}" name="Tabelle51324" displayName="Tabelle51324" ref="R49:AF62" totalsRowCount="1" headerRowDxfId="545" dataDxfId="544" totalsRowDxfId="543">
  <autoFilter ref="R49:AF61" xr:uid="{013EA9C5-7A45-4E8F-94A3-9D04C72F17FB}"/>
  <tableColumns count="15">
    <tableColumn id="14" xr3:uid="{9314455C-0E5C-471D-9531-B7C315875517}" name="Lfd. Nr." dataDxfId="542" totalsRowDxfId="541">
      <calculatedColumnFormula>ROW(A1)</calculatedColumnFormula>
    </tableColumn>
    <tableColumn id="1" xr3:uid="{52FD2A27-48EF-4D9F-8F6B-22EB2DFD525F}" name="Beschreibung" totalsRowLabel="Gesamt:  " dataDxfId="540" totalsRowDxfId="539"/>
    <tableColumn id="2" xr3:uid="{FBA1D1EA-AF3B-46E6-9B17-83C776036115}" name="Teilnahmebeiträge Veranstaltungen" totalsRowFunction="custom" dataDxfId="538" totalsRowDxfId="537">
      <totalsRowFormula>SUBTOTAL(9,Tabelle51324[Teilnahmebeiträge Veranstaltungen])</totalsRowFormula>
    </tableColumn>
    <tableColumn id="3" xr3:uid="{D5912FE5-7F24-46A5-8C39-82048C10A421}" name="Sonstige Einnahmen" totalsRowFunction="custom" dataDxfId="536" totalsRowDxfId="535">
      <totalsRowFormula>SUBTOTAL(9,Tabelle51324[Sonstige Einnahmen])</totalsRowFormula>
    </tableColumn>
    <tableColumn id="4" xr3:uid="{A82E7805-78EF-4FB7-B7A4-754EDAABEFDD}" name="Aufwandsentschädigungen" totalsRowFunction="custom" dataDxfId="534" totalsRowDxfId="533">
      <totalsRowFormula>SUBTOTAL(9,Tabelle51324[Aufwandsentschädigungen])</totalsRowFormula>
    </tableColumn>
    <tableColumn id="5" xr3:uid="{DE8030F9-43C6-42DE-9D58-1865917608D7}" name="Interne Reisekosten" totalsRowFunction="custom" dataDxfId="532" totalsRowDxfId="531">
      <totalsRowFormula>SUBTOTAL(9,Tabelle51324[Interne Reisekosten])</totalsRowFormula>
    </tableColumn>
    <tableColumn id="6" xr3:uid="{BB68F6D5-A1A1-4993-AEBA-65B75B1FC1B1}" name="Raum + Unterkunft intern" totalsRowFunction="custom" dataDxfId="530" totalsRowDxfId="529">
      <totalsRowFormula>SUBTOTAL(9,Tabelle51324[Raum + Unterkunft intern])</totalsRowFormula>
    </tableColumn>
    <tableColumn id="7" xr3:uid="{6484A755-46D6-405E-B598-5C31D2E3E2C4}" name="Repräsentation/Bewirtung intern" totalsRowFunction="custom" dataDxfId="528" totalsRowDxfId="527">
      <totalsRowFormula>SUBTOTAL(9,Tabelle51324[Repräsentation/Bewirtung intern])</totalsRowFormula>
    </tableColumn>
    <tableColumn id="8" xr3:uid="{FAE85C63-2178-41EC-99EE-77FCCFF3EE80}" name="Repräsentation/Bewirtung extern" totalsRowFunction="custom" dataDxfId="526" totalsRowDxfId="525">
      <totalsRowFormula>SUBTOTAL(9,Tabelle51324[Repräsentation/Bewirtung extern])</totalsRowFormula>
    </tableColumn>
    <tableColumn id="9" xr3:uid="{AAD8347F-12E4-471B-8A37-7ABB1A4AB441}" name="Raum + Unterkunft extern" totalsRowFunction="custom" dataDxfId="524" totalsRowDxfId="523">
      <totalsRowFormula>SUBTOTAL(9,Tabelle51324[Raum + Unterkunft extern])</totalsRowFormula>
    </tableColumn>
    <tableColumn id="10" xr3:uid="{897AE632-09F0-4BE9-A865-2DB4A64D6081}" name="Druckkosten" totalsRowFunction="custom" dataDxfId="522" totalsRowDxfId="521">
      <totalsRowFormula>SUBTOTAL(9,Tabelle51324[Druckkosten])</totalsRowFormula>
    </tableColumn>
    <tableColumn id="11" xr3:uid="{92087998-DFBA-4E5D-A41B-7DDB238A2BE8}" name="Sonstige Kosten" totalsRowFunction="custom" dataDxfId="520" totalsRowDxfId="519">
      <totalsRowFormula>SUBTOTAL(9,Tabelle51324[Sonstige Kosten])</totalsRowFormula>
    </tableColumn>
    <tableColumn id="12" xr3:uid="{EDF1BC89-C3DA-4174-9A0B-4D923BEA6ED8}" name="Rechtsangelegenheiten" totalsRowFunction="custom" dataDxfId="518" totalsRowDxfId="517">
      <totalsRowFormula>SUBTOTAL(9,Tabelle51324[Rechtsangelegenheiten])</totalsRowFormula>
    </tableColumn>
    <tableColumn id="15" xr3:uid="{95B1C999-70D5-401F-B073-E95F5B0A55C2}" name="Andere Honorare" totalsRowFunction="sum" dataDxfId="516" totalsRowDxfId="515"/>
    <tableColumn id="13" xr3:uid="{0F2F2836-B88E-4D09-B39E-A50E06FFBEE3}" name="Gesamt" totalsRowFunction="custom" dataDxfId="514" totalsRowDxfId="513">
      <totalsRowFormula>SUBTOTAL(9,Tabelle51324[Gesamt])</totalsRowFormula>
    </tableColumn>
  </tableColumns>
  <tableStyleInfo name="TableStyleLight16"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496E1A4-900F-4515-8EC3-E65BFDF644D4}" name="Tabelle61525" displayName="Tabelle61525" ref="R67:Z85" totalsRowCount="1" headerRowDxfId="512" dataDxfId="511" totalsRowDxfId="510" dataCellStyle="Link">
  <autoFilter ref="R67:Z84" xr:uid="{43A09B6F-448F-435C-872B-DB9622B39E76}"/>
  <tableColumns count="9">
    <tableColumn id="1" xr3:uid="{E3C2FDBF-79E9-4224-A668-A270E1FD572B}" name="Lfd. Nr. " dataDxfId="509" totalsRowDxfId="508">
      <calculatedColumnFormula>ROW(A1)</calculatedColumnFormula>
    </tableColumn>
    <tableColumn id="8" xr3:uid="{80105B17-9DD3-48EC-ADF2-E009DF80196E}" name="Sitzung/Tätigkeit" dataDxfId="507" totalsRowDxfId="506"/>
    <tableColumn id="9" xr3:uid="{B9D7A4B3-44BE-484A-B033-125D38BFE523}" name="Ort oder Datum (falls bekannt)" dataDxfId="505" totalsRowDxfId="504"/>
    <tableColumn id="7" xr3:uid="{54EAA601-D4CE-4AC5-A1F0-253E2EC0A58E}" name="Art" totalsRowLabel="Gesamt:  " dataDxfId="503" totalsRowDxfId="502"/>
    <tableColumn id="2" xr3:uid="{5AD75624-5EA0-437D-B0EA-AE317D423366}" name="Aufwandsentschädigungen" totalsRowFunction="custom" dataDxfId="501" totalsRowDxfId="500" dataCellStyle="Link">
      <totalsRowFormula>SUBTOTAL(9,Tabelle61525[Aufwandsentschädigungen])</totalsRowFormula>
    </tableColumn>
    <tableColumn id="3" xr3:uid="{9F7C9089-0B35-4EA3-B9CE-8D6DACB08276}" name="Interne Reisekosten" totalsRowFunction="custom" dataDxfId="499" totalsRowDxfId="498" dataCellStyle="Link">
      <totalsRowFormula>SUBTOTAL(9,Tabelle61525[Interne Reisekosten])</totalsRowFormula>
    </tableColumn>
    <tableColumn id="4" xr3:uid="{AB26DB09-AF57-4769-B2B6-13D1E6CEE0C5}" name="Raum + Unterkunft intern" totalsRowFunction="custom" dataDxfId="497" totalsRowDxfId="496" dataCellStyle="Link">
      <totalsRowFormula>SUBTOTAL(9,Tabelle61525[Raum + Unterkunft intern])</totalsRowFormula>
    </tableColumn>
    <tableColumn id="5" xr3:uid="{E5309075-EEF0-47F9-9E0D-FDBCE17EC96E}" name="Repräsentation/Bewirtung intern" totalsRowFunction="custom" dataDxfId="495" totalsRowDxfId="494" dataCellStyle="Link">
      <totalsRowFormula>SUBTOTAL(9,Tabelle61525[Repräsentation/Bewirtung intern])</totalsRowFormula>
    </tableColumn>
    <tableColumn id="6" xr3:uid="{ECEE2332-050A-4E50-90E4-C7EC848057C5}" name="Gesamt" totalsRowFunction="custom" dataDxfId="493" totalsRowDxfId="492">
      <totalsRowFormula>SUBTOTAL(9,Tabelle61525[Gesamt])</totalsRowFormula>
    </tableColumn>
  </tableColumns>
  <tableStyleInfo name="TableStyleLight2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035D914-38DE-49DF-8C5F-1FEC7960438B}" name="Tabelle182226" displayName="Tabelle182226" ref="A3:L23" totalsRowCount="1" headerRowDxfId="491" dataDxfId="489" totalsRowDxfId="487" headerRowBorderDxfId="490" tableBorderDxfId="488">
  <autoFilter ref="A3:L22" xr:uid="{E31AE468-1510-4678-9C28-8A5337B561D8}"/>
  <tableColumns count="12">
    <tableColumn id="1" xr3:uid="{54CA1100-E7C4-44ED-9210-5A7EAF1EB5C2}" name="Titel" dataDxfId="486" totalsRowDxfId="485"/>
    <tableColumn id="2" xr3:uid="{E29920DD-7C4D-4AF6-8A64-99DBD1BF1848}" name="Kontenbezeichnung" dataDxfId="484" totalsRowDxfId="483"/>
    <tableColumn id="3" xr3:uid="{933F9BEF-6E44-4C85-B78B-707F3D91B44F}" name="-" dataDxfId="482" totalsRowDxfId="481"/>
    <tableColumn id="4" xr3:uid="{4B54FFF5-CF93-451E-962C-EA9F7D39E978}" name="Erläuterung" totalsRowLabel="Gesamt:" dataDxfId="480" totalsRowDxfId="479"/>
    <tableColumn id="12" xr3:uid="{5F8B2768-A9C8-4140-BAD1-6807A4E1A285}" name="Freie Eingabe Plan 23-24" totalsRowFunction="custom" dataDxfId="478" totalsRowDxfId="477">
      <totalsRowFormula>SUBTOTAL(109,E10:E22)</totalsRowFormula>
    </tableColumn>
    <tableColumn id="6" xr3:uid="{F053B479-405F-48EE-A250-DB04A4D8364B}" name="Rechnung HHJ 23-24" totalsRowFunction="custom" dataDxfId="476" totalsRowDxfId="475">
      <totalsRowFormula>SUBTOTAL(109,F10:F22)</totalsRowFormula>
    </tableColumn>
    <tableColumn id="11" xr3:uid="{F11A2855-2761-47B7-9AF8-1DD1CCE9F8E3}" name="Freie Eingabe Plan 22-232" totalsRowFunction="custom" dataDxfId="474" totalsRowDxfId="473">
      <totalsRowFormula>SUBTOTAL(109,G10:G22)</totalsRowFormula>
    </tableColumn>
    <tableColumn id="10" xr3:uid="{2AD97FAA-1A33-457F-BB1C-38522CF5B521}" name="Rechnung HHJ 22-232" totalsRowFunction="custom" dataDxfId="472" totalsRowDxfId="471">
      <totalsRowFormula>SUBTOTAL(109,H10:H22)</totalsRowFormula>
    </tableColumn>
    <tableColumn id="5" xr3:uid="{7A20ADCB-6399-4446-A507-B8C8AFF85B2A}" name="Freie Eingabe Plan HHJ 21-22" totalsRowFunction="custom" dataDxfId="470" totalsRowDxfId="469">
      <totalsRowFormula>SUBTOTAL(109,I10:I22)</totalsRowFormula>
    </tableColumn>
    <tableColumn id="7" xr3:uid="{85461D33-8F52-47CD-98C6-BAF919C88558}" name="IST HHJ 21-22" totalsRowFunction="custom" dataDxfId="468" totalsRowDxfId="467">
      <totalsRowFormula>SUBTOTAL(109,J10:J22)</totalsRowFormula>
    </tableColumn>
    <tableColumn id="8" xr3:uid="{5EAF0A22-E227-46E5-9599-F3FE2D2A8FA7}" name="Abschluss 20-21" dataDxfId="466" totalsRowDxfId="465"/>
    <tableColumn id="9" xr3:uid="{6693DDDA-2F76-4AA3-B6C7-7894CCCC828B}" name="Plan HHJ 20-21" dataDxfId="464" totalsRowDxfId="463"/>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C79DD45C-5A1D-4168-9768-2EC086AE83CE}" name="Tabelle4102351" displayName="Tabelle4102351" ref="A35:L44" totalsRowCount="1" headerRowDxfId="462" dataDxfId="461" totalsRowDxfId="460">
  <autoFilter ref="A35:L43" xr:uid="{C79DD45C-5A1D-4168-9768-2EC086AE83CE}"/>
  <tableColumns count="12">
    <tableColumn id="13" xr3:uid="{87B79460-4951-4B26-90F7-CA3E091FBDF9}" name="Lfd. Nr." dataDxfId="459" totalsRowDxfId="458">
      <calculatedColumnFormula>ROW(#REF!)</calculatedColumnFormula>
    </tableColumn>
    <tableColumn id="1" xr3:uid="{D6148D94-DFFF-407F-B94E-EC37DCA80613}" name="Beschreibung/ Kurzbezeichnung" totalsRowLabel="Gesamt:  " dataDxfId="457" totalsRowDxfId="456"/>
    <tableColumn id="2" xr3:uid="{5CDB2496-F1C1-4B89-B592-A6FA1AE84E98}" name="Teilnahmebeiträge Fachseminare" totalsRowFunction="sum" dataDxfId="455" totalsRowDxfId="454"/>
    <tableColumn id="3" xr3:uid="{03E8C7D9-9653-4A4D-935A-1CFB19AB094B}" name="Teilnahmebeiträge Veranstaltungen" totalsRowFunction="custom" dataDxfId="453" totalsRowDxfId="452">
      <totalsRowFormula>SUBTOTAL(9,Tabelle4102351[Teilnahmebeiträge Veranstaltungen])</totalsRowFormula>
    </tableColumn>
    <tableColumn id="4" xr3:uid="{93D24010-32D5-4429-83CB-28175D155ED4}" name="Sonstige Einnahmen" totalsRowFunction="custom" dataDxfId="451" totalsRowDxfId="450">
      <totalsRowFormula>SUBTOTAL(9,Tabelle4102351[Sonstige Einnahmen])</totalsRowFormula>
    </tableColumn>
    <tableColumn id="5" xr3:uid="{B5A6F938-E7C2-4926-ACD0-C790D501A3A7}" name="Honorare Dozierende Fachseminare" totalsRowFunction="sum" dataDxfId="449" totalsRowDxfId="448"/>
    <tableColumn id="6" xr3:uid="{87D86B8C-FAEF-48BA-ABC4-B22DAEDF7CA8}" name="Aufwandsentschädigungen" totalsRowFunction="sum" dataDxfId="447" totalsRowDxfId="446"/>
    <tableColumn id="7" xr3:uid="{28F08741-B0FE-43D0-AF5E-1C40648F89A7}" name="Externe Reisekosten" totalsRowFunction="sum" dataDxfId="445" totalsRowDxfId="444"/>
    <tableColumn id="8" xr3:uid="{E2E86055-4C89-4D24-963A-E8A74475B736}" name="Repräsentation/Bewirtung extern" totalsRowFunction="sum" dataDxfId="443" totalsRowDxfId="442"/>
    <tableColumn id="9" xr3:uid="{B6CFC6FD-D694-4AF3-BECC-9B92C6661C20}" name="Raum + Unterkunft extern" totalsRowFunction="sum" dataDxfId="441" totalsRowDxfId="440"/>
    <tableColumn id="10" xr3:uid="{8BCC81B9-61E8-44B0-AB74-5871E21E8211}" name="Verwaltungs- und Druckkosten" totalsRowFunction="sum" dataDxfId="439" totalsRowDxfId="438"/>
    <tableColumn id="11" xr3:uid="{9A03F908-DFA1-4A6F-993B-92B95FB136C8}" name="Gesamt" totalsRowFunction="sum" dataDxfId="437" totalsRowDxfId="436"/>
  </tableColumns>
  <tableStyleInfo name="TableStyleLight19"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98B84165-71C3-4CE7-A913-9E9E4AB431DE}" name="Tabelle5132454" displayName="Tabelle5132454" ref="A49:O62" totalsRowCount="1" headerRowDxfId="435" dataDxfId="434" totalsRowDxfId="433">
  <autoFilter ref="A49:O61" xr:uid="{98B84165-71C3-4CE7-A913-9E9E4AB431DE}"/>
  <tableColumns count="15">
    <tableColumn id="14" xr3:uid="{52473E11-96A1-417E-A3D7-AAF8C2D6EC11}" name="Lfd. Nr." dataDxfId="432" totalsRowDxfId="431">
      <calculatedColumnFormula>ROW(#REF!)</calculatedColumnFormula>
    </tableColumn>
    <tableColumn id="1" xr3:uid="{36D14404-B1FC-42EA-8429-D8C1313BA22A}" name="Beschreibung" totalsRowLabel="Gesamt:  " dataDxfId="430" totalsRowDxfId="429"/>
    <tableColumn id="2" xr3:uid="{72498D6A-84B5-4C15-AE0C-A0F16723BC1A}" name="Teilnahmebeiträge Veranstaltungen" totalsRowFunction="custom" dataDxfId="428" totalsRowDxfId="427">
      <totalsRowFormula>SUBTOTAL(9,Tabelle5132454[Teilnahmebeiträge Veranstaltungen])</totalsRowFormula>
    </tableColumn>
    <tableColumn id="3" xr3:uid="{A25D66E5-8997-4204-A451-7D63CED31E6B}" name="Sonstige Einnahmen" totalsRowFunction="custom" dataDxfId="426" totalsRowDxfId="425">
      <totalsRowFormula>SUBTOTAL(9,Tabelle5132454[Sonstige Einnahmen])</totalsRowFormula>
    </tableColumn>
    <tableColumn id="4" xr3:uid="{01D6E861-2F8A-446C-810F-EAA6279D7161}" name="Aufwandsentschädigungen" totalsRowFunction="custom" dataDxfId="424" totalsRowDxfId="423">
      <totalsRowFormula>SUBTOTAL(9,Tabelle5132454[Aufwandsentschädigungen])</totalsRowFormula>
    </tableColumn>
    <tableColumn id="5" xr3:uid="{22F8D7A9-BF72-40A9-B04D-A2B1E76AE202}" name="Interne Reisekosten" totalsRowFunction="custom" dataDxfId="422" totalsRowDxfId="421">
      <totalsRowFormula>SUBTOTAL(9,Tabelle5132454[Interne Reisekosten])</totalsRowFormula>
    </tableColumn>
    <tableColumn id="6" xr3:uid="{CB761A10-D186-4187-A63F-DAF6B3DCBE81}" name="Raum + Unterkunft intern" totalsRowFunction="custom" dataDxfId="420" totalsRowDxfId="419">
      <totalsRowFormula>SUBTOTAL(9,Tabelle5132454[Raum + Unterkunft intern])</totalsRowFormula>
    </tableColumn>
    <tableColumn id="7" xr3:uid="{A50153A1-D360-466B-B5D6-4A6BBBDB9CA8}" name="Repräsentation/Bewirtung intern" totalsRowFunction="custom" dataDxfId="418" totalsRowDxfId="417">
      <totalsRowFormula>SUBTOTAL(9,Tabelle5132454[Repräsentation/Bewirtung intern])</totalsRowFormula>
    </tableColumn>
    <tableColumn id="8" xr3:uid="{A65D47D6-21DD-4318-A28B-D7EA68D8753E}" name="Repräsentation/Bewirtung extern" totalsRowFunction="custom" dataDxfId="416" totalsRowDxfId="415">
      <totalsRowFormula>SUBTOTAL(9,Tabelle5132454[Repräsentation/Bewirtung extern])</totalsRowFormula>
    </tableColumn>
    <tableColumn id="9" xr3:uid="{49D3EDD0-9B4D-4A6B-9A29-D7A6F57E131F}" name="Raum + Unterkunft extern" totalsRowFunction="custom" dataDxfId="414" totalsRowDxfId="413">
      <totalsRowFormula>SUBTOTAL(9,Tabelle5132454[Raum + Unterkunft extern])</totalsRowFormula>
    </tableColumn>
    <tableColumn id="10" xr3:uid="{CD952C35-5545-4B94-9637-30F18061E92C}" name="Druckkosten" totalsRowFunction="custom" dataDxfId="412" totalsRowDxfId="411">
      <totalsRowFormula>SUBTOTAL(9,Tabelle5132454[Druckkosten])</totalsRowFormula>
    </tableColumn>
    <tableColumn id="11" xr3:uid="{5DF6917B-C755-4134-AF07-75364536C3E2}" name="Sonstige Kosten" totalsRowFunction="custom" dataDxfId="410" totalsRowDxfId="409">
      <totalsRowFormula>SUBTOTAL(9,Tabelle5132454[Sonstige Kosten])</totalsRowFormula>
    </tableColumn>
    <tableColumn id="12" xr3:uid="{F52861F0-545E-49C4-9CE4-EBB825672014}" name="Rechtsangelegenheiten" totalsRowFunction="custom" dataDxfId="408" totalsRowDxfId="407">
      <totalsRowFormula>SUBTOTAL(9,Tabelle5132454[Rechtsangelegenheiten])</totalsRowFormula>
    </tableColumn>
    <tableColumn id="15" xr3:uid="{7C25EFCA-2E70-470B-93AC-52C80A8B06C8}" name="Andere Honorare" totalsRowFunction="sum" dataDxfId="406" totalsRowDxfId="405"/>
    <tableColumn id="13" xr3:uid="{89372B06-FF8F-43FC-9E8C-BB8A6D2FEA13}" name="Gesamt" totalsRowFunction="custom" dataDxfId="404" totalsRowDxfId="403">
      <totalsRowFormula>SUBTOTAL(9,Tabelle5132454[Gesamt])</totalsRowFormula>
    </tableColumn>
  </tableColumns>
  <tableStyleInfo name="TableStyleLight16"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FDD301E7-A6F4-48B7-9674-541CCBDAB0AC}" name="Tabelle6152555" displayName="Tabelle6152555" ref="A67:I85" totalsRowCount="1" headerRowDxfId="402" dataDxfId="401" totalsRowDxfId="400" dataCellStyle="Link">
  <autoFilter ref="A67:I84" xr:uid="{FDD301E7-A6F4-48B7-9674-541CCBDAB0AC}"/>
  <tableColumns count="9">
    <tableColumn id="1" xr3:uid="{B90E1B4D-A5F4-4DA3-A2A4-E85F3924657D}" name="Lfd. Nr. " dataDxfId="399" totalsRowDxfId="398">
      <calculatedColumnFormula>ROW(#REF!)</calculatedColumnFormula>
    </tableColumn>
    <tableColumn id="8" xr3:uid="{82459226-640E-400E-B46D-61565BABBAA8}" name="Sitzung/Tätigkeit" dataDxfId="397" totalsRowDxfId="396"/>
    <tableColumn id="9" xr3:uid="{6C9F64E7-C171-4711-9168-2C2E80BF404C}" name="Ort oder Datum (falls bekannt)" dataDxfId="395" totalsRowDxfId="394"/>
    <tableColumn id="7" xr3:uid="{C9F43377-2DCC-4815-9061-B9F9410FDA79}" name="Art" totalsRowLabel="Gesamt:  " dataDxfId="393" totalsRowDxfId="392"/>
    <tableColumn id="2" xr3:uid="{6FA669B7-9202-465A-86D8-DEE21F91FFEB}" name="Aufwandsentschädigungen" totalsRowFunction="custom" dataDxfId="391" totalsRowDxfId="390" dataCellStyle="Link">
      <totalsRowFormula>SUBTOTAL(9,Tabelle6152555[Aufwandsentschädigungen])</totalsRowFormula>
    </tableColumn>
    <tableColumn id="3" xr3:uid="{71CC3434-03BD-46BA-A105-93912953FA98}" name="Interne Reisekosten" totalsRowFunction="custom" dataDxfId="389" totalsRowDxfId="388" dataCellStyle="Link">
      <totalsRowFormula>SUBTOTAL(9,Tabelle6152555[Interne Reisekosten])</totalsRowFormula>
    </tableColumn>
    <tableColumn id="4" xr3:uid="{C746EDCA-9136-4815-9EB5-12E4DCD42C44}" name="Raum + Unterkunft intern" totalsRowFunction="custom" dataDxfId="387" totalsRowDxfId="386" dataCellStyle="Link">
      <totalsRowFormula>SUBTOTAL(9,Tabelle6152555[Raum + Unterkunft intern])</totalsRowFormula>
    </tableColumn>
    <tableColumn id="5" xr3:uid="{16BEA834-5750-4372-ABD4-F27475856D1D}" name="Repräsentation/Bewirtung intern" totalsRowFunction="custom" dataDxfId="385" totalsRowDxfId="384" dataCellStyle="Link">
      <totalsRowFormula>SUBTOTAL(9,Tabelle6152555[Repräsentation/Bewirtung intern])</totalsRowFormula>
    </tableColumn>
    <tableColumn id="6" xr3:uid="{FB22F866-12A2-43B9-9D99-4BB985C8AC6A}" name="Gesamt" totalsRowFunction="custom" dataDxfId="383" totalsRowDxfId="382">
      <totalsRowFormula>SUBTOTAL(9,Tabelle6152555[Gesamt])</totalsRowFormula>
    </tableColumn>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982717-DB24-4F11-BD9C-D6A26D2F09F5}" name="Tabelle358" displayName="Tabelle358" ref="A15:F23" totalsRowShown="0" headerRowDxfId="1219" dataDxfId="1217" headerRowBorderDxfId="1218" tableBorderDxfId="1216" totalsRowBorderDxfId="1215">
  <autoFilter ref="A15:F23" xr:uid="{9806A028-1DC1-4C1B-92D9-ECABF352F95D}"/>
  <tableColumns count="6">
    <tableColumn id="1" xr3:uid="{2D34CB36-3162-4669-B885-C153F302B2A6}" name="Vertrag Nr." dataDxfId="1214"/>
    <tableColumn id="2" xr3:uid="{0E129B5A-8C27-4FED-98AD-BE2E515DC08C}" name="Vertragsinhalt*" dataDxfId="1213"/>
    <tableColumn id="3" xr3:uid="{70FC7DC9-E547-4490-9BBB-9C97DCAD1A4F}" name="Vertragspartner" dataDxfId="1212"/>
    <tableColumn id="4" xr3:uid="{05BF4725-FFB5-42C1-80A9-FE7B4007B815}" name="Beträge/Budget" dataDxfId="1211"/>
    <tableColumn id="6" xr3:uid="{BB41C734-ACCB-40E9-93EB-2492D3C1B617}" name="Titel" dataDxfId="1210"/>
    <tableColumn id="5" xr3:uid="{1B8C8E5A-B29B-4E9C-A02E-3647BB25AC41}" name="Laufzeit" dataDxfId="1209"/>
  </tableColumns>
  <tableStyleInfo name="TableStyleLight20"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A37B0CB-9459-407E-AAEA-AE0F3CF2F1EE}" name="Tabelle4102327" displayName="Tabelle4102327" ref="R35:AC48" totalsRowCount="1" headerRowDxfId="381" dataDxfId="380" totalsRowDxfId="379">
  <autoFilter ref="R35:AC47" xr:uid="{99887CDA-11A8-41F9-A93B-C715B17331CA}"/>
  <tableColumns count="12">
    <tableColumn id="13" xr3:uid="{7A044FF9-830D-4F57-8335-99A2D3B1763D}" name="Lfd. Nr." dataDxfId="378" totalsRowDxfId="377">
      <calculatedColumnFormula>ROW(A1)</calculatedColumnFormula>
    </tableColumn>
    <tableColumn id="1" xr3:uid="{437CE3EE-EE43-4E6C-A2BC-F8642DDA8FF2}" name="Beschreibung/ Kurzbezeichnung" totalsRowLabel="Gesamt:  " dataDxfId="376" totalsRowDxfId="375"/>
    <tableColumn id="2" xr3:uid="{7B55084B-7EEE-403D-B085-B4EE9B5CF640}" name="Teilnahmebeiträge Fachseminare" totalsRowFunction="custom" dataDxfId="374" totalsRowDxfId="373">
      <totalsRowFormula>SUBTOTAL(9,Tabelle4102327[Teilnahmebeiträge Fachseminare])</totalsRowFormula>
    </tableColumn>
    <tableColumn id="3" xr3:uid="{D224A2FE-C7A9-4D88-9C2E-EFCD98BD4FE7}" name="Teilnahmebeiträge Veranstaltungen" totalsRowFunction="custom" dataDxfId="372" totalsRowDxfId="371">
      <totalsRowFormula>SUBTOTAL(9,Tabelle4102327[Teilnahmebeiträge Veranstaltungen])</totalsRowFormula>
    </tableColumn>
    <tableColumn id="4" xr3:uid="{6B94160A-EEAB-4406-92D7-26452ED905FC}" name="Sonstige Einnahmen" totalsRowFunction="custom" dataDxfId="370" totalsRowDxfId="369">
      <totalsRowFormula>SUBTOTAL(9,Tabelle4102327[Sonstige Einnahmen])</totalsRowFormula>
    </tableColumn>
    <tableColumn id="5" xr3:uid="{3D449188-0203-41C5-85BA-BA20FDBDD285}" name="Honorare Dozierende Fachseminare" totalsRowFunction="custom" dataDxfId="368" totalsRowDxfId="367">
      <totalsRowFormula>SUBTOTAL(9,Tabelle4102327[Honorare Dozierende Fachseminare])</totalsRowFormula>
    </tableColumn>
    <tableColumn id="6" xr3:uid="{04148A8D-5915-4735-91E8-261843BAACED}" name="Aufwandsentschädigungen" totalsRowFunction="custom" dataDxfId="366" totalsRowDxfId="365">
      <totalsRowFormula>SUBTOTAL(9,Tabelle4102327[Aufwandsentschädigungen])</totalsRowFormula>
    </tableColumn>
    <tableColumn id="7" xr3:uid="{A21B54ED-1275-40F2-9506-41230D60F4AE}" name="Externe Reisekosten" totalsRowFunction="custom" dataDxfId="364" totalsRowDxfId="363">
      <totalsRowFormula>SUBTOTAL(9,Tabelle4102327[Externe Reisekosten])</totalsRowFormula>
    </tableColumn>
    <tableColumn id="8" xr3:uid="{D3E8A730-987E-4543-9CAB-B0F901ED34D3}" name="Repräsentation/Bewirtung extern" totalsRowFunction="custom" dataDxfId="362" totalsRowDxfId="361">
      <totalsRowFormula>SUBTOTAL(9,Tabelle4102327[Repräsentation/Bewirtung extern])</totalsRowFormula>
    </tableColumn>
    <tableColumn id="9" xr3:uid="{B32B6BDF-B5CC-4B65-A2ED-F90A65AC7E9A}" name="Raum + Unterkunft extern" totalsRowFunction="custom" dataDxfId="360" totalsRowDxfId="359">
      <totalsRowFormula>SUBTOTAL(9,Tabelle4102327[Raum + Unterkunft extern])</totalsRowFormula>
    </tableColumn>
    <tableColumn id="10" xr3:uid="{844F571D-C2B9-4704-98FE-7195BC92FAB1}" name="Verwaltungs- und Druckkosten" totalsRowFunction="custom" dataDxfId="358" totalsRowDxfId="357">
      <totalsRowFormula>SUBTOTAL(9,Tabelle4102327[Verwaltungs- und Druckkosten])</totalsRowFormula>
    </tableColumn>
    <tableColumn id="11" xr3:uid="{C8248228-D97F-47D6-8556-36CE7C498F70}" name="Gesamt" totalsRowFunction="custom" dataDxfId="356" totalsRowDxfId="355">
      <totalsRowFormula>SUBTOTAL(9,Tabelle4102327[Gesamt])</totalsRowFormula>
    </tableColumn>
  </tableColumns>
  <tableStyleInfo name="TableStyleLight19"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74AE361-DEB0-4BD2-BE6D-51E28011DDCC}" name="Tabelle5132428" displayName="Tabelle5132428" ref="R53:AF66" totalsRowCount="1" headerRowDxfId="354" dataDxfId="353" totalsRowDxfId="352">
  <autoFilter ref="R53:AF65" xr:uid="{013EA9C5-7A45-4E8F-94A3-9D04C72F17FB}"/>
  <tableColumns count="15">
    <tableColumn id="14" xr3:uid="{45A962E6-EA23-4DF9-BC1B-E6DAC4E5F886}" name="Lfd. Nr." dataDxfId="351" totalsRowDxfId="350">
      <calculatedColumnFormula>ROW(A1)</calculatedColumnFormula>
    </tableColumn>
    <tableColumn id="1" xr3:uid="{CADFF0D5-9D47-4C26-A3AB-884102A77A09}" name="Beschreibung" totalsRowLabel="Gesamt:  " dataDxfId="349" totalsRowDxfId="348"/>
    <tableColumn id="2" xr3:uid="{04E3AA65-C2D6-4D5C-8E9F-A66539678523}" name="Teilnahmebeiträge Veranstaltungen" totalsRowFunction="custom" dataDxfId="347" totalsRowDxfId="346">
      <totalsRowFormula>SUBTOTAL(9,Tabelle5132428[Teilnahmebeiträge Veranstaltungen])</totalsRowFormula>
    </tableColumn>
    <tableColumn id="3" xr3:uid="{CA97A72B-320F-46C4-A9BB-171A8676DEF3}" name="Sonstige Einnahmen" totalsRowFunction="custom" dataDxfId="345" totalsRowDxfId="344">
      <totalsRowFormula>SUBTOTAL(9,Tabelle5132428[Sonstige Einnahmen])</totalsRowFormula>
    </tableColumn>
    <tableColumn id="4" xr3:uid="{69F7E5A0-398B-4391-8E73-581908D67776}" name="Aufwandsentschädigungen" totalsRowFunction="custom" dataDxfId="343" totalsRowDxfId="342">
      <totalsRowFormula>SUBTOTAL(9,Tabelle5132428[Aufwandsentschädigungen])</totalsRowFormula>
    </tableColumn>
    <tableColumn id="5" xr3:uid="{769884C4-93B4-411C-B703-B27FD699E410}" name="Interne Reisekosten" totalsRowFunction="custom" dataDxfId="341" totalsRowDxfId="340">
      <totalsRowFormula>SUBTOTAL(9,Tabelle5132428[Interne Reisekosten])</totalsRowFormula>
    </tableColumn>
    <tableColumn id="6" xr3:uid="{A23A2596-8D79-4BC8-8441-5B2CB0465430}" name="Raum + Unterkunft intern" totalsRowFunction="custom" dataDxfId="339" totalsRowDxfId="338">
      <totalsRowFormula>SUBTOTAL(9,Tabelle5132428[Raum + Unterkunft intern])</totalsRowFormula>
    </tableColumn>
    <tableColumn id="7" xr3:uid="{0FFF4F43-42CF-4372-A7F6-EA66767151A2}" name="Repräsentation/Bewirtung intern" totalsRowFunction="custom" dataDxfId="337" totalsRowDxfId="336">
      <totalsRowFormula>SUBTOTAL(9,Tabelle5132428[Repräsentation/Bewirtung intern])</totalsRowFormula>
    </tableColumn>
    <tableColumn id="8" xr3:uid="{9310CD99-C225-4256-B3DF-30222A98C610}" name="Repräsentation/Bewirtung extern" totalsRowFunction="custom" dataDxfId="335" totalsRowDxfId="334">
      <totalsRowFormula>SUBTOTAL(9,Tabelle5132428[Repräsentation/Bewirtung extern])</totalsRowFormula>
    </tableColumn>
    <tableColumn id="9" xr3:uid="{56AA287B-CFC4-4EB8-B296-0ABD461E796E}" name="Raum + Unterkunft extern" totalsRowFunction="custom" dataDxfId="333" totalsRowDxfId="332">
      <totalsRowFormula>SUBTOTAL(9,Tabelle5132428[Raum + Unterkunft extern])</totalsRowFormula>
    </tableColumn>
    <tableColumn id="10" xr3:uid="{1D88842B-C673-4161-BA6C-337F9614DE4A}" name="Druckkosten" totalsRowFunction="custom" dataDxfId="331" totalsRowDxfId="330">
      <totalsRowFormula>SUBTOTAL(9,Tabelle5132428[Druckkosten])</totalsRowFormula>
    </tableColumn>
    <tableColumn id="11" xr3:uid="{031886E7-FF13-42BF-B266-EA66C12C3F37}" name="Sonstige Kosten" totalsRowFunction="custom" dataDxfId="329" totalsRowDxfId="328">
      <totalsRowFormula>SUBTOTAL(9,Tabelle5132428[Sonstige Kosten])</totalsRowFormula>
    </tableColumn>
    <tableColumn id="12" xr3:uid="{8B19251F-685A-43E4-AFFC-C0A4B5B7CD1C}" name="Rechtsangelegenheiten" totalsRowFunction="custom" dataDxfId="327" totalsRowDxfId="326">
      <totalsRowFormula>SUBTOTAL(9,Tabelle5132428[Rechtsangelegenheiten])</totalsRowFormula>
    </tableColumn>
    <tableColumn id="15" xr3:uid="{B2424B39-FD54-4485-9BED-2B04B010BE44}" name="Andere Honorare" totalsRowFunction="sum" dataDxfId="325" totalsRowDxfId="324"/>
    <tableColumn id="13" xr3:uid="{BF011A92-131E-4413-9AFD-47AC91A65200}" name="Gesamt" totalsRowFunction="custom" dataDxfId="323" totalsRowDxfId="322">
      <totalsRowFormula>SUBTOTAL(9,Tabelle5132428[Gesamt])</totalsRowFormula>
    </tableColumn>
  </tableColumns>
  <tableStyleInfo name="TableStyleLight16"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2F4572A-41DD-4958-B96E-745F8EFA45D9}" name="Tabelle6152529" displayName="Tabelle6152529" ref="R71:Z89" totalsRowCount="1" headerRowDxfId="321" dataDxfId="320" totalsRowDxfId="319" dataCellStyle="Link">
  <autoFilter ref="R71:Z88" xr:uid="{43A09B6F-448F-435C-872B-DB9622B39E76}"/>
  <tableColumns count="9">
    <tableColumn id="1" xr3:uid="{451A0785-995B-48F7-A574-3E93957C724E}" name="Lfd. Nr. " dataDxfId="318" totalsRowDxfId="317">
      <calculatedColumnFormula>ROW(A1)</calculatedColumnFormula>
    </tableColumn>
    <tableColumn id="8" xr3:uid="{E732FF4B-E965-42E4-B534-424977792D8B}" name="Sitzung/Tätigkeit" dataDxfId="316" totalsRowDxfId="315"/>
    <tableColumn id="9" xr3:uid="{9C15DCF4-E285-4984-BF8F-A96676A89419}" name="Ort oder Datum (falls bekannt)" dataDxfId="314" totalsRowDxfId="313"/>
    <tableColumn id="7" xr3:uid="{EE3C8EEB-417A-43A2-A4D5-241BB1CEBDB1}" name="Art" totalsRowLabel="Gesamt:  " dataDxfId="312" totalsRowDxfId="311"/>
    <tableColumn id="2" xr3:uid="{2B4B916C-C1B6-4FB5-AC46-961C1DA67654}" name="Aufwandsentschädigungen" totalsRowFunction="custom" dataDxfId="310" totalsRowDxfId="309" dataCellStyle="Link">
      <totalsRowFormula>SUBTOTAL(9,Tabelle6152529[Aufwandsentschädigungen])</totalsRowFormula>
    </tableColumn>
    <tableColumn id="3" xr3:uid="{4E544F0D-712F-41F7-B91D-031EB873B401}" name="Interne Reisekosten" totalsRowFunction="custom" dataDxfId="308" totalsRowDxfId="307" dataCellStyle="Link">
      <totalsRowFormula>SUBTOTAL(9,Tabelle6152529[Interne Reisekosten])</totalsRowFormula>
    </tableColumn>
    <tableColumn id="4" xr3:uid="{67BBC114-768E-49F1-9B33-7B44A363217C}" name="Raum + Unterkunft intern" totalsRowFunction="custom" dataDxfId="306" totalsRowDxfId="305" dataCellStyle="Link">
      <totalsRowFormula>SUBTOTAL(9,Tabelle6152529[Raum + Unterkunft intern])</totalsRowFormula>
    </tableColumn>
    <tableColumn id="5" xr3:uid="{0F242B7E-D0F3-451A-97C2-370C6BD253BE}" name="Repräsentation/Bewirtung intern" totalsRowFunction="custom" dataDxfId="304" totalsRowDxfId="303" dataCellStyle="Link">
      <totalsRowFormula>SUBTOTAL(9,Tabelle6152529[Repräsentation/Bewirtung intern])</totalsRowFormula>
    </tableColumn>
    <tableColumn id="6" xr3:uid="{10EA123B-D711-4C02-93CC-E6C607C7440C}" name="Gesamt" totalsRowFunction="custom" dataDxfId="302" totalsRowDxfId="301">
      <totalsRowFormula>SUBTOTAL(9,Tabelle6152529[Gesamt])</totalsRowFormula>
    </tableColumn>
  </tableColumns>
  <tableStyleInfo name="TableStyleLight2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9DF2C6E-1461-47A3-9058-D8B0CA13F0AA}" name="Tabelle18222630" displayName="Tabelle18222630" ref="A3:L23" totalsRowCount="1" headerRowDxfId="300" dataDxfId="298" totalsRowDxfId="296" headerRowBorderDxfId="299" tableBorderDxfId="297">
  <autoFilter ref="A3:L22" xr:uid="{E31AE468-1510-4678-9C28-8A5337B561D8}"/>
  <tableColumns count="12">
    <tableColumn id="1" xr3:uid="{34968CB2-B88D-4947-8203-C5DECA6F875D}" name="Titel" dataDxfId="295" totalsRowDxfId="294"/>
    <tableColumn id="2" xr3:uid="{5AC80178-F865-44B6-94EB-954A1315772B}" name="Kontenbezeichnung" dataDxfId="293" totalsRowDxfId="292"/>
    <tableColumn id="3" xr3:uid="{75F0BA47-16CD-4B31-888C-42632F745890}" name="-" dataDxfId="291" totalsRowDxfId="290"/>
    <tableColumn id="4" xr3:uid="{EE00E74D-6D49-4EED-9E7A-1FB3931B3B0B}" name="Erläuterung" totalsRowLabel="Gesamt:" dataDxfId="289" totalsRowDxfId="288"/>
    <tableColumn id="10" xr3:uid="{C9694012-32CC-4FFC-B3A0-FC5DAA212D4F}" name="Freie Eingabe Plan HHJ 22-23" totalsRowFunction="custom" dataDxfId="287" totalsRowDxfId="286">
      <totalsRowFormula>SUBTOTAL(109,E10:E22)</totalsRowFormula>
    </tableColumn>
    <tableColumn id="6" xr3:uid="{D363994B-AA55-4C1A-A36B-E9A4ACF2F050}" name="Rechnung HHJ 22-23" totalsRowFunction="custom" dataDxfId="285" totalsRowDxfId="284">
      <totalsRowFormula>SUBTOTAL(109,F10:F22)</totalsRowFormula>
    </tableColumn>
    <tableColumn id="13" xr3:uid="{524FCD72-E216-4F5E-9906-3CDF2D692FDB}" name="Freie Eingabe Plan HHJ 22-232" totalsRowFunction="custom" dataDxfId="283" totalsRowDxfId="282">
      <totalsRowFormula>SUBTOTAL(109,G10:G22)</totalsRowFormula>
    </tableColumn>
    <tableColumn id="11" xr3:uid="{CF932DFD-08E0-4EC9-BE14-1E85F27F2068}" name="Rechnung HHJ 22-233" totalsRowFunction="custom" dataDxfId="281" totalsRowDxfId="280">
      <totalsRowFormula>SUBTOTAL(109,H10:H22)</totalsRowFormula>
    </tableColumn>
    <tableColumn id="5" xr3:uid="{82EAB1E8-F970-497B-A2A6-5417CC2EA172}" name="Freie Eingabe Plan HHJ 21-22" totalsRowFunction="custom" dataDxfId="279" totalsRowDxfId="278">
      <totalsRowFormula>SUBTOTAL(109,I10:I22)</totalsRowFormula>
    </tableColumn>
    <tableColumn id="7" xr3:uid="{377B3D6D-E39A-4BAD-8B1A-E6849A692580}" name="IST HHJ 21-22" totalsRowFunction="custom" dataDxfId="277" totalsRowDxfId="276">
      <totalsRowFormula>SUBTOTAL(109,J10:J22)</totalsRowFormula>
    </tableColumn>
    <tableColumn id="8" xr3:uid="{3F9A3892-8D96-4F6D-8AD3-FFDA3B6AAFF0}" name="Abschluss 20-21" dataDxfId="275" totalsRowDxfId="274"/>
    <tableColumn id="9" xr3:uid="{CDDE6229-5579-432E-848C-D4C9707BE2C9}" name="Plan HHJ 20-21" dataDxfId="273" totalsRowDxfId="272"/>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10FAAC42-EC92-4585-909C-B70F89394CE2}" name="Tabelle410232763" displayName="Tabelle410232763" ref="A35:L48" totalsRowCount="1" headerRowDxfId="271" dataDxfId="270" totalsRowDxfId="269">
  <autoFilter ref="A35:L47" xr:uid="{10FAAC42-EC92-4585-909C-B70F89394CE2}"/>
  <tableColumns count="12">
    <tableColumn id="13" xr3:uid="{E159CC54-49D4-4708-B2E5-B89D2C763839}" name="Lfd. Nr." dataDxfId="268" totalsRowDxfId="267">
      <calculatedColumnFormula>ROW(#REF!)</calculatedColumnFormula>
    </tableColumn>
    <tableColumn id="1" xr3:uid="{7EC033A1-7772-4B50-8C73-C9D7D92C3C54}" name="Beschreibung/ Kurzbezeichnung" totalsRowLabel="Gesamt:  " dataDxfId="266" totalsRowDxfId="265"/>
    <tableColumn id="2" xr3:uid="{8ABF2A70-0705-41EF-BE29-253BA99A6BFC}" name="Teilnahmebeiträge Fachseminare" totalsRowFunction="custom" dataDxfId="264" totalsRowDxfId="263">
      <totalsRowFormula>SUBTOTAL(9,Tabelle410232763[Teilnahmebeiträge Fachseminare])</totalsRowFormula>
    </tableColumn>
    <tableColumn id="3" xr3:uid="{3DD1EAED-BCE3-49A0-968F-5729E3788853}" name="Teilnahmebeiträge Veranstaltungen" totalsRowFunction="custom" dataDxfId="262" totalsRowDxfId="261">
      <totalsRowFormula>SUBTOTAL(9,Tabelle410232763[Teilnahmebeiträge Veranstaltungen])</totalsRowFormula>
    </tableColumn>
    <tableColumn id="4" xr3:uid="{065ACBDD-013C-4BFB-AED9-7BE88DFE517D}" name="Sonstige Einnahmen" totalsRowFunction="custom" dataDxfId="260" totalsRowDxfId="259">
      <totalsRowFormula>SUBTOTAL(9,Tabelle410232763[Sonstige Einnahmen])</totalsRowFormula>
    </tableColumn>
    <tableColumn id="5" xr3:uid="{080423AC-EB9D-40ED-940A-F04F758A6AE8}" name="Honorare Dozierende Fachseminare" totalsRowFunction="custom" dataDxfId="258" totalsRowDxfId="257">
      <totalsRowFormula>SUBTOTAL(9,Tabelle410232763[Honorare Dozierende Fachseminare])</totalsRowFormula>
    </tableColumn>
    <tableColumn id="6" xr3:uid="{7D094164-56C2-46F3-957C-A81467A908EB}" name="Aufwandsentschädigungen" totalsRowFunction="custom" dataDxfId="256" totalsRowDxfId="255">
      <totalsRowFormula>SUBTOTAL(9,Tabelle410232763[Aufwandsentschädigungen])</totalsRowFormula>
    </tableColumn>
    <tableColumn id="7" xr3:uid="{7E3C61C3-200F-47DA-B908-27157CAD3936}" name="Externe Reisekosten" totalsRowFunction="custom" dataDxfId="254" totalsRowDxfId="253">
      <totalsRowFormula>SUBTOTAL(9,Tabelle410232763[Externe Reisekosten])</totalsRowFormula>
    </tableColumn>
    <tableColumn id="8" xr3:uid="{19C99B84-1DC5-4192-90BA-CEF1C93AB9B2}" name="Repräsentation/Bewirtung extern" totalsRowFunction="custom" dataDxfId="252" totalsRowDxfId="251">
      <totalsRowFormula>SUBTOTAL(9,Tabelle410232763[Repräsentation/Bewirtung extern])</totalsRowFormula>
    </tableColumn>
    <tableColumn id="9" xr3:uid="{6EAB9C1A-84C9-43E8-9689-651ECD1EF785}" name="Raum + Unterkunft extern" totalsRowFunction="custom" dataDxfId="250" totalsRowDxfId="249">
      <totalsRowFormula>SUBTOTAL(9,Tabelle410232763[Raum + Unterkunft extern])</totalsRowFormula>
    </tableColumn>
    <tableColumn id="10" xr3:uid="{B553A091-E6A6-4BC0-A89F-3E23D0E71CDD}" name="Verwaltungs- und Druckkosten" totalsRowFunction="custom" dataDxfId="248" totalsRowDxfId="247">
      <totalsRowFormula>SUBTOTAL(9,Tabelle410232763[Verwaltungs- und Druckkosten])</totalsRowFormula>
    </tableColumn>
    <tableColumn id="11" xr3:uid="{3474E39E-8253-48CA-A5F4-9B83CED27D9D}" name="Gesamt" totalsRowFunction="custom" dataDxfId="246" totalsRowDxfId="245">
      <totalsRowFormula>SUBTOTAL(9,Tabelle410232763[Gesamt])</totalsRowFormula>
    </tableColumn>
  </tableColumns>
  <tableStyleInfo name="TableStyleLight19"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8E1A368-A2C0-4D0A-845B-AEA4CF64F643}" name="Tabelle513242864" displayName="Tabelle513242864" ref="A53:O66" totalsRowCount="1" headerRowDxfId="244" dataDxfId="243" totalsRowDxfId="242">
  <autoFilter ref="A53:O65" xr:uid="{88E1A368-A2C0-4D0A-845B-AEA4CF64F643}"/>
  <tableColumns count="15">
    <tableColumn id="14" xr3:uid="{B344B998-CBB3-4709-B742-255E5687E493}" name="Lfd. Nr." dataDxfId="241" totalsRowDxfId="240">
      <calculatedColumnFormula>ROW(A1)</calculatedColumnFormula>
    </tableColumn>
    <tableColumn id="1" xr3:uid="{C048D2EE-C901-4270-A554-DA5D48FA3591}" name="Beschreibung" totalsRowLabel="Gesamt:  " dataDxfId="239" totalsRowDxfId="238"/>
    <tableColumn id="2" xr3:uid="{61C35882-9CDB-4083-B1DE-A37D26E5F6A8}" name="Teilnahmebeiträge Veranstaltungen" totalsRowFunction="custom" dataDxfId="237" totalsRowDxfId="236">
      <totalsRowFormula>SUBTOTAL(9,Tabelle513242864[Teilnahmebeiträge Veranstaltungen])</totalsRowFormula>
    </tableColumn>
    <tableColumn id="3" xr3:uid="{9662480E-B1E6-455C-A616-9B33BAD6E346}" name="Sonstige Einnahmen" totalsRowFunction="custom" dataDxfId="235" totalsRowDxfId="234">
      <totalsRowFormula>SUBTOTAL(9,Tabelle513242864[Sonstige Einnahmen])</totalsRowFormula>
    </tableColumn>
    <tableColumn id="4" xr3:uid="{F53D3977-CE63-4CB7-AB09-D37A25E3BB4C}" name="Aufwandsentschädigungen" totalsRowFunction="custom" dataDxfId="233" totalsRowDxfId="232">
      <totalsRowFormula>SUBTOTAL(9,Tabelle513242864[Aufwandsentschädigungen])</totalsRowFormula>
    </tableColumn>
    <tableColumn id="5" xr3:uid="{521F0D56-7F87-4425-A893-F958EE86ED7C}" name="Interne Reisekosten" totalsRowFunction="custom" dataDxfId="231" totalsRowDxfId="230">
      <totalsRowFormula>SUBTOTAL(9,Tabelle513242864[Interne Reisekosten])</totalsRowFormula>
    </tableColumn>
    <tableColumn id="6" xr3:uid="{5442021A-F0F6-4186-8A05-8E05D97FE17D}" name="Raum + Unterkunft intern" totalsRowFunction="custom" dataDxfId="229" totalsRowDxfId="228">
      <totalsRowFormula>SUBTOTAL(9,Tabelle513242864[Raum + Unterkunft intern])</totalsRowFormula>
    </tableColumn>
    <tableColumn id="7" xr3:uid="{AA3E1A9B-6045-4553-84AE-13B3BDA9F19A}" name="Repräsentation/Bewirtung intern" totalsRowFunction="custom" dataDxfId="227" totalsRowDxfId="226">
      <totalsRowFormula>SUBTOTAL(9,Tabelle513242864[Repräsentation/Bewirtung intern])</totalsRowFormula>
    </tableColumn>
    <tableColumn id="8" xr3:uid="{0D586BBA-36D8-40A5-AC5C-5C573A937C8E}" name="Repräsentation/Bewirtung extern" totalsRowFunction="custom" dataDxfId="225" totalsRowDxfId="224">
      <totalsRowFormula>SUBTOTAL(9,Tabelle513242864[Repräsentation/Bewirtung extern])</totalsRowFormula>
    </tableColumn>
    <tableColumn id="9" xr3:uid="{41E7760D-07DE-4B8F-8B0E-9CE09D614141}" name="Raum + Unterkunft extern" totalsRowFunction="custom" dataDxfId="223" totalsRowDxfId="222">
      <totalsRowFormula>SUBTOTAL(9,Tabelle513242864[Raum + Unterkunft extern])</totalsRowFormula>
    </tableColumn>
    <tableColumn id="10" xr3:uid="{776BAF09-B267-46DD-86F3-E01210A9E7EF}" name="Druckkosten" totalsRowFunction="custom" dataDxfId="221" totalsRowDxfId="220">
      <totalsRowFormula>SUBTOTAL(9,Tabelle513242864[Druckkosten])</totalsRowFormula>
    </tableColumn>
    <tableColumn id="11" xr3:uid="{4C979B99-69AF-4724-BFA3-3AA708D6CB60}" name="Sonstige Kosten" totalsRowFunction="custom" dataDxfId="219" totalsRowDxfId="218">
      <totalsRowFormula>SUBTOTAL(9,Tabelle513242864[Sonstige Kosten])</totalsRowFormula>
    </tableColumn>
    <tableColumn id="12" xr3:uid="{27C43442-FA93-451F-983E-B852AA188DBE}" name="Rechtsangelegenheiten" totalsRowFunction="custom" dataDxfId="217" totalsRowDxfId="216">
      <totalsRowFormula>SUBTOTAL(9,Tabelle513242864[Rechtsangelegenheiten])</totalsRowFormula>
    </tableColumn>
    <tableColumn id="15" xr3:uid="{42FC45A0-6B5D-418C-A1C3-16C41296EA72}" name="Andere Honorare" totalsRowFunction="sum" dataDxfId="215" totalsRowDxfId="214"/>
    <tableColumn id="13" xr3:uid="{5DFEF64D-82AA-4B94-8F49-9F2DDBA6E51A}" name="Gesamt" totalsRowFunction="custom" dataDxfId="213" totalsRowDxfId="212">
      <calculatedColumnFormula>(C54+D54)-SUM(E54:N54)</calculatedColumnFormula>
      <totalsRowFormula>SUBTOTAL(9,Tabelle513242864[Gesamt])</totalsRowFormula>
    </tableColumn>
  </tableColumns>
  <tableStyleInfo name="TableStyleLight16"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EA0397B5-C670-49A0-BE76-CF7F81B25448}" name="Tabelle615252965" displayName="Tabelle615252965" ref="A71:I89" totalsRowCount="1" headerRowDxfId="211" dataDxfId="210" totalsRowDxfId="209" dataCellStyle="Link">
  <autoFilter ref="A71:I88" xr:uid="{EA0397B5-C670-49A0-BE76-CF7F81B25448}"/>
  <tableColumns count="9">
    <tableColumn id="1" xr3:uid="{798EC366-6610-4269-A75A-A638D7118DF8}" name="Lfd. Nr. " dataDxfId="208" totalsRowDxfId="207">
      <calculatedColumnFormula>ROW(A1)</calculatedColumnFormula>
    </tableColumn>
    <tableColumn id="8" xr3:uid="{8CA2C69C-228C-458A-8B09-92EE81401990}" name="Sitzung/Tätigkeit" dataDxfId="206" totalsRowDxfId="205"/>
    <tableColumn id="9" xr3:uid="{884F6B28-7276-4A8A-A014-89ED6026CEF3}" name="Ort oder Datum (falls bekannt)" dataDxfId="204" totalsRowDxfId="203"/>
    <tableColumn id="7" xr3:uid="{F37D33F8-6A73-482E-94AF-0CD688A606D9}" name="Art" totalsRowLabel="Gesamt:  " dataDxfId="202" totalsRowDxfId="201"/>
    <tableColumn id="2" xr3:uid="{5021C8C8-EF50-422E-9EB2-9160A041C7BA}" name="Aufwandsentschädigungen" totalsRowFunction="custom" dataDxfId="200" totalsRowDxfId="199" dataCellStyle="Link">
      <totalsRowFormula>SUBTOTAL(9,Tabelle615252965[Aufwandsentschädigungen])</totalsRowFormula>
    </tableColumn>
    <tableColumn id="3" xr3:uid="{08F634FD-7F7E-4493-BE9B-AA383FDF5168}" name="Interne Reisekosten" totalsRowFunction="custom" dataDxfId="198" totalsRowDxfId="197" dataCellStyle="Link">
      <totalsRowFormula>SUBTOTAL(9,Tabelle615252965[Interne Reisekosten])</totalsRowFormula>
    </tableColumn>
    <tableColumn id="4" xr3:uid="{D98D39D1-DD9A-4805-A867-3251DB7F1138}" name="Raum + Unterkunft intern" totalsRowFunction="custom" dataDxfId="196" totalsRowDxfId="195" dataCellStyle="Link">
      <totalsRowFormula>SUBTOTAL(9,Tabelle615252965[Raum + Unterkunft intern])</totalsRowFormula>
    </tableColumn>
    <tableColumn id="5" xr3:uid="{094F9579-557D-4670-B43C-39443505463B}" name="Repräsentation/Bewirtung intern" totalsRowFunction="custom" dataDxfId="194" totalsRowDxfId="193" dataCellStyle="Link">
      <totalsRowFormula>SUBTOTAL(9,Tabelle615252965[Repräsentation/Bewirtung intern])</totalsRowFormula>
    </tableColumn>
    <tableColumn id="6" xr3:uid="{C48D9972-BB38-42B5-8CC2-288733EB222A}" name="Gesamt" totalsRowFunction="custom" dataDxfId="192" totalsRowDxfId="191">
      <totalsRowFormula>SUBTOTAL(9,Tabelle615252965[Gesamt])</totalsRowFormula>
    </tableColumn>
  </tableColumns>
  <tableStyleInfo name="TableStyleLight2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0A09F36-C140-4215-91C9-1EF0E9AB40A1}" name="Tabelle410232731" displayName="Tabelle410232731" ref="R35:AC47" totalsRowCount="1" headerRowDxfId="190" dataDxfId="189" totalsRowDxfId="188">
  <autoFilter ref="R35:AC46" xr:uid="{99887CDA-11A8-41F9-A93B-C715B17331CA}"/>
  <tableColumns count="12">
    <tableColumn id="13" xr3:uid="{795ACCD6-E92B-43D3-A522-C465E28CCCBD}" name="Lfd. Nr." dataDxfId="187" totalsRowDxfId="186">
      <calculatedColumnFormula>ROW(A1)</calculatedColumnFormula>
    </tableColumn>
    <tableColumn id="1" xr3:uid="{D3411847-D997-442B-B0B8-B366F6D3DAA7}" name="Beschreibung/ Kurzbezeichnung" totalsRowLabel="Gesamt:  " dataDxfId="185" totalsRowDxfId="184"/>
    <tableColumn id="2" xr3:uid="{D1CF6CE3-B6E8-47AD-8300-58A24356F5BD}" name="Teilnahmebeiträge Fachseminare" totalsRowFunction="custom" dataDxfId="183" totalsRowDxfId="182">
      <totalsRowFormula>SUBTOTAL(9,Tabelle410232731[Teilnahmebeiträge Fachseminare])</totalsRowFormula>
    </tableColumn>
    <tableColumn id="3" xr3:uid="{B98928CB-039A-4DA3-A048-CBD2B27B6CC1}" name="Teilnahmebeiträge Veranstaltungen" totalsRowFunction="custom" dataDxfId="181" totalsRowDxfId="180">
      <totalsRowFormula>SUBTOTAL(9,Tabelle410232731[Teilnahmebeiträge Veranstaltungen])</totalsRowFormula>
    </tableColumn>
    <tableColumn id="4" xr3:uid="{3713E023-C12C-42A1-AD80-DEB2B9E098A1}" name="Sonstige Einnahmen" totalsRowFunction="custom" dataDxfId="179" totalsRowDxfId="178">
      <totalsRowFormula>SUBTOTAL(9,Tabelle410232731[Sonstige Einnahmen])</totalsRowFormula>
    </tableColumn>
    <tableColumn id="5" xr3:uid="{5A0ECB75-DEC0-417F-BC4A-2FCF2E94EEE6}" name="Honorare Dozierende Fachseminare" totalsRowFunction="custom" dataDxfId="177" totalsRowDxfId="176">
      <totalsRowFormula>SUBTOTAL(9,Tabelle410232731[Honorare Dozierende Fachseminare])</totalsRowFormula>
    </tableColumn>
    <tableColumn id="6" xr3:uid="{4AEADC44-EFB1-4696-B17F-22BACDF53ACD}" name="Aufwandsentschädigungen" totalsRowFunction="custom" dataDxfId="175" totalsRowDxfId="174">
      <totalsRowFormula>SUBTOTAL(9,Tabelle410232731[Aufwandsentschädigungen])</totalsRowFormula>
    </tableColumn>
    <tableColumn id="7" xr3:uid="{6007E6EB-5339-4B65-B6AD-4F60879AD98F}" name="Externe Reisekosten" totalsRowFunction="custom" dataDxfId="173" totalsRowDxfId="172">
      <totalsRowFormula>SUBTOTAL(9,Tabelle410232731[Externe Reisekosten])</totalsRowFormula>
    </tableColumn>
    <tableColumn id="8" xr3:uid="{F7CF5D80-DE28-44D3-BA67-7E34979F7E8A}" name="Repräsentation/Bewirtung extern" totalsRowFunction="custom" dataDxfId="171" totalsRowDxfId="170">
      <totalsRowFormula>SUBTOTAL(9,Tabelle410232731[Repräsentation/Bewirtung extern])</totalsRowFormula>
    </tableColumn>
    <tableColumn id="9" xr3:uid="{6C916D4A-213E-4850-97E1-44599ABD6094}" name="Raum + Unterkunft extern" totalsRowFunction="custom" dataDxfId="169" totalsRowDxfId="168">
      <totalsRowFormula>SUBTOTAL(9,Tabelle410232731[Raum + Unterkunft extern])</totalsRowFormula>
    </tableColumn>
    <tableColumn id="10" xr3:uid="{45388D6D-C762-4C2D-BD3F-4D70EA362132}" name="Verwaltungs- und Druckkosten" totalsRowFunction="custom" dataDxfId="167" totalsRowDxfId="166">
      <totalsRowFormula>SUBTOTAL(9,Tabelle410232731[Verwaltungs- und Druckkosten])</totalsRowFormula>
    </tableColumn>
    <tableColumn id="11" xr3:uid="{99B63993-4893-48E7-8C6E-C667C1A1EE5D}" name="Gesamt" totalsRowFunction="custom" dataDxfId="165" totalsRowDxfId="164">
      <totalsRowFormula>SUBTOTAL(9,Tabelle410232731[Gesamt])</totalsRowFormula>
    </tableColumn>
  </tableColumns>
  <tableStyleInfo name="TableStyleLight19"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A0983A5-78C1-47BF-98B5-1AE57C43521B}" name="Tabelle513242832" displayName="Tabelle513242832" ref="R52:AF65" totalsRowCount="1" headerRowDxfId="163" dataDxfId="162" totalsRowDxfId="161">
  <autoFilter ref="R52:AF64" xr:uid="{013EA9C5-7A45-4E8F-94A3-9D04C72F17FB}"/>
  <tableColumns count="15">
    <tableColumn id="14" xr3:uid="{6E376E85-71C3-43F6-AA2F-DF81E3E54C14}" name="Lfd. Nr." dataDxfId="160" totalsRowDxfId="159">
      <calculatedColumnFormula>ROW(A1)</calculatedColumnFormula>
    </tableColumn>
    <tableColumn id="1" xr3:uid="{19320084-C0BC-40BD-B270-723DCBDA932F}" name="Beschreibung" totalsRowLabel="Gesamt:  " dataDxfId="158" totalsRowDxfId="157"/>
    <tableColumn id="2" xr3:uid="{2531D5FF-B824-49BF-B15A-931B1C073A2A}" name="Teilnahmebeiträge Veranstaltungen" totalsRowFunction="custom" dataDxfId="156" totalsRowDxfId="155">
      <totalsRowFormula>SUBTOTAL(9,Tabelle513242832[Teilnahmebeiträge Veranstaltungen])</totalsRowFormula>
    </tableColumn>
    <tableColumn id="3" xr3:uid="{3E0B9AB2-7D7B-4EBE-80E2-4BC6A8085A81}" name="Sonstige Einnahmen" totalsRowFunction="custom" dataDxfId="154" totalsRowDxfId="153">
      <totalsRowFormula>SUBTOTAL(9,Tabelle513242832[Sonstige Einnahmen])</totalsRowFormula>
    </tableColumn>
    <tableColumn id="4" xr3:uid="{E3D19F74-2969-4399-A8BB-9DE07BC7F7C6}" name="Aufwandsentschädigungen" totalsRowFunction="custom" dataDxfId="152" totalsRowDxfId="151">
      <totalsRowFormula>SUBTOTAL(9,Tabelle513242832[Aufwandsentschädigungen])</totalsRowFormula>
    </tableColumn>
    <tableColumn id="5" xr3:uid="{D5B88CAC-2BB2-4B33-9F20-91FA21C93728}" name="Interne Reisekosten" totalsRowFunction="custom" dataDxfId="150" totalsRowDxfId="149">
      <totalsRowFormula>SUBTOTAL(9,Tabelle513242832[Interne Reisekosten])</totalsRowFormula>
    </tableColumn>
    <tableColumn id="6" xr3:uid="{EAE5B511-0CD4-4C1F-A847-986F0C4619E7}" name="Raum + Unterkunft intern" totalsRowFunction="custom" dataDxfId="148" totalsRowDxfId="147">
      <totalsRowFormula>SUBTOTAL(9,Tabelle513242832[Raum + Unterkunft intern])</totalsRowFormula>
    </tableColumn>
    <tableColumn id="7" xr3:uid="{16968C0D-D042-48C2-B8F4-A3FF98E6A873}" name="Repräsentation/Bewirtung intern" totalsRowFunction="custom" dataDxfId="146" totalsRowDxfId="145">
      <totalsRowFormula>SUBTOTAL(9,Tabelle513242832[Repräsentation/Bewirtung intern])</totalsRowFormula>
    </tableColumn>
    <tableColumn id="8" xr3:uid="{6EDEDD03-9018-43DD-B8D0-5748B92B2A7E}" name="Repräsentation/Bewirtung extern" totalsRowFunction="custom" dataDxfId="144" totalsRowDxfId="143">
      <totalsRowFormula>SUBTOTAL(9,Tabelle513242832[Repräsentation/Bewirtung extern])</totalsRowFormula>
    </tableColumn>
    <tableColumn id="9" xr3:uid="{D2139169-BCEC-42FD-855F-65A437088F34}" name="Raum + Unterkunft extern" totalsRowFunction="custom" dataDxfId="142" totalsRowDxfId="141">
      <totalsRowFormula>SUBTOTAL(9,Tabelle513242832[Raum + Unterkunft extern])</totalsRowFormula>
    </tableColumn>
    <tableColumn id="10" xr3:uid="{2389B347-62E5-4BF8-8922-9FAAA17D0C0F}" name="Druckkosten" totalsRowFunction="custom" dataDxfId="140" totalsRowDxfId="139">
      <totalsRowFormula>SUBTOTAL(9,Tabelle513242832[Druckkosten])</totalsRowFormula>
    </tableColumn>
    <tableColumn id="11" xr3:uid="{0F2A6FD0-D632-4AAD-8EC6-8E3FA0F9130F}" name="Sonstige Kosten" totalsRowFunction="custom" dataDxfId="138" totalsRowDxfId="137">
      <totalsRowFormula>SUBTOTAL(9,Tabelle513242832[Sonstige Kosten])</totalsRowFormula>
    </tableColumn>
    <tableColumn id="12" xr3:uid="{9DDE39C7-FD7B-46F0-8B05-D661CB1371B0}" name="Rechtsangelegenheiten" totalsRowFunction="custom" dataDxfId="136" totalsRowDxfId="135">
      <totalsRowFormula>SUBTOTAL(9,Tabelle513242832[Rechtsangelegenheiten])</totalsRowFormula>
    </tableColumn>
    <tableColumn id="15" xr3:uid="{F5F8D252-6901-48A3-A4BC-A8DAB3CFE7C7}" name="Andere Honorare" totalsRowFunction="sum" dataDxfId="134" totalsRowDxfId="133"/>
    <tableColumn id="13" xr3:uid="{DCC5ED9D-3F0C-4B11-A0D3-0AB88AA77DAD}" name="Gesamt" totalsRowFunction="custom" dataDxfId="132" totalsRowDxfId="131">
      <calculatedColumnFormula>SUM(T53+U53)-SUM(W53:AE53)</calculatedColumnFormula>
      <totalsRowFormula>SUBTOTAL(9,Tabelle513242832[Gesamt])</totalsRowFormula>
    </tableColumn>
  </tableColumns>
  <tableStyleInfo name="TableStyleLight16"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F38A5F3-4EC7-4171-82B5-0460F159584D}" name="Tabelle615252933" displayName="Tabelle615252933" ref="R70:Z80" totalsRowCount="1" headerRowDxfId="130" dataDxfId="129" totalsRowDxfId="128" dataCellStyle="Link">
  <autoFilter ref="R70:Z79" xr:uid="{43A09B6F-448F-435C-872B-DB9622B39E76}"/>
  <tableColumns count="9">
    <tableColumn id="1" xr3:uid="{E2C058E8-37CB-4A19-A5AF-C4B96B20E01D}" name="Lfd. Nr. " dataDxfId="127" totalsRowDxfId="126">
      <calculatedColumnFormula>ROW(A1)</calculatedColumnFormula>
    </tableColumn>
    <tableColumn id="8" xr3:uid="{CF615C1E-3637-4B74-9EFE-4CAD64DD0FDF}" name="Sitzung/Tätigkeit" dataDxfId="125" totalsRowDxfId="124"/>
    <tableColumn id="9" xr3:uid="{71C62E1E-57D0-4737-9EA7-D5594256A682}" name="Ort oder Datum (falls bekannt)" dataDxfId="123" totalsRowDxfId="122"/>
    <tableColumn id="7" xr3:uid="{C92F975F-06F3-47ED-B826-11F312F1615A}" name="Art" totalsRowLabel="Gesamt:  " dataDxfId="121" totalsRowDxfId="120"/>
    <tableColumn id="2" xr3:uid="{F98A61F7-B548-43C4-B892-A928A91F196F}" name="Aufwandsentschädigungen" totalsRowFunction="custom" dataDxfId="119" totalsRowDxfId="118" dataCellStyle="Link">
      <totalsRowFormula>SUBTOTAL(9,Tabelle615252933[Aufwandsentschädigungen])</totalsRowFormula>
    </tableColumn>
    <tableColumn id="3" xr3:uid="{E0935126-E5F7-41FE-BB15-9775D4EA24B4}" name="Interne Reisekosten" totalsRowFunction="custom" dataDxfId="117" totalsRowDxfId="116" dataCellStyle="Link">
      <totalsRowFormula>SUBTOTAL(9,Tabelle615252933[Interne Reisekosten])</totalsRowFormula>
    </tableColumn>
    <tableColumn id="4" xr3:uid="{212359E0-4E20-4D98-9504-3B35C5B30FCA}" name="Raum + Unterkunft intern" totalsRowFunction="custom" dataDxfId="115" totalsRowDxfId="114" dataCellStyle="Link">
      <totalsRowFormula>SUBTOTAL(9,Tabelle615252933[Raum + Unterkunft intern])</totalsRowFormula>
    </tableColumn>
    <tableColumn id="5" xr3:uid="{3AEB5251-BB0E-49ED-B7DB-20EBFBB2CEEB}" name="Repräsentation/Bewirtung intern" totalsRowFunction="custom" dataDxfId="113" totalsRowDxfId="112" dataCellStyle="Link">
      <totalsRowFormula>SUBTOTAL(9,Tabelle615252933[Repräsentation/Bewirtung intern])</totalsRowFormula>
    </tableColumn>
    <tableColumn id="6" xr3:uid="{D1E167B0-9DCF-4D7B-AB09-F19EDAB4400C}" name="Gesamt" totalsRowFunction="custom" dataDxfId="111" totalsRowDxfId="110">
      <totalsRowFormula>SUBTOTAL(9,Tabelle615252933[Gesamt])</totalsRowFormula>
    </tableColumn>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727C157-EAC8-49E8-9C5E-9F8033DA3B19}" name="Tabelle35811" displayName="Tabelle35811" ref="A27:F34" totalsRowShown="0" headerRowDxfId="1208" dataDxfId="1206" headerRowBorderDxfId="1207" tableBorderDxfId="1205" totalsRowBorderDxfId="1204">
  <autoFilter ref="A27:F34" xr:uid="{B5ABF7EC-E472-4AEB-9249-8E9B9AE18EE1}"/>
  <tableColumns count="6">
    <tableColumn id="1" xr3:uid="{01BB43B4-58D8-4691-A1F8-FAF294669557}" name="Vertrag Nr." dataDxfId="1203"/>
    <tableColumn id="2" xr3:uid="{B6700074-480C-4C9D-AFFE-6733558E07D2}" name="Vertragsinhalt*" dataDxfId="1202"/>
    <tableColumn id="3" xr3:uid="{FFF8E21C-DE30-49DD-B533-31BCF4BF23F4}" name="Vertragspartner" dataDxfId="1201"/>
    <tableColumn id="4" xr3:uid="{990ADCC2-4B5F-4797-8CB2-956305FBD37E}" name="Beträge/Budget" dataDxfId="1200"/>
    <tableColumn id="6" xr3:uid="{12E72F90-920D-47E4-B2C0-1C0693154D3B}" name="Titel" dataDxfId="1199"/>
    <tableColumn id="5" xr3:uid="{09F96D71-659A-49C5-B4A8-902828A448DF}" name="Laufzeit" dataDxfId="1198"/>
  </tableColumns>
  <tableStyleInfo name="TableStyleLight20"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65C1E439-7E96-4CEA-AFA6-1080DC1843B4}" name="Tabelle1822263034" displayName="Tabelle1822263034" ref="A3:L23" totalsRowCount="1" headerRowDxfId="109" dataDxfId="107" totalsRowDxfId="105" headerRowBorderDxfId="108" tableBorderDxfId="106">
  <autoFilter ref="A3:L22" xr:uid="{E31AE468-1510-4678-9C28-8A5337B561D8}"/>
  <tableColumns count="12">
    <tableColumn id="1" xr3:uid="{459C6A15-7B1B-4123-B925-0BB00D935EEA}" name="Titel" dataDxfId="104" totalsRowDxfId="103"/>
    <tableColumn id="2" xr3:uid="{C22C08EC-0CE4-4BB9-9815-DF7C36065485}" name="Kontenbezeichnung" dataDxfId="102" totalsRowDxfId="101"/>
    <tableColumn id="3" xr3:uid="{56A3A19E-F7CD-47B0-AAE5-67E357291A73}" name="-" dataDxfId="100" totalsRowDxfId="99"/>
    <tableColumn id="4" xr3:uid="{790FD4B7-536E-425B-90FB-0B382FCD0140}" name="Erläuterung" totalsRowLabel="Gesamt:" dataDxfId="98" totalsRowDxfId="97"/>
    <tableColumn id="10" xr3:uid="{B07BF8D0-567F-4065-9798-2A962469B1DD}" name="Freie Eingabe Plan HHJ 22-23" totalsRowFunction="custom" dataDxfId="96" totalsRowDxfId="95">
      <totalsRowFormula>SUBTOTAL(109,E10:E22)</totalsRowFormula>
    </tableColumn>
    <tableColumn id="6" xr3:uid="{3534EB81-4B00-49A1-86BA-A16CF2A32B91}" name="Rechnung HHJ 22-23" totalsRowFunction="custom" dataDxfId="94" totalsRowDxfId="93">
      <totalsRowFormula>SUBTOTAL(109,F11:F22)</totalsRowFormula>
    </tableColumn>
    <tableColumn id="15" xr3:uid="{E941EC3B-26B4-4E06-A7DF-5403CA872DF6}" name="Freie Eingabe Plan HHJ 22-232" totalsRowFunction="custom" dataDxfId="92" totalsRowDxfId="91">
      <totalsRowFormula>SUBTOTAL(109,G10:G22)</totalsRowFormula>
    </tableColumn>
    <tableColumn id="13" xr3:uid="{BB21E7E6-7302-4D3A-A0E4-1F66ED2CEA84}" name="Rechnung HHJ 22-233" totalsRowFunction="custom" dataDxfId="90" totalsRowDxfId="89">
      <totalsRowFormula>SUBTOTAL(109,H10:H22)</totalsRowFormula>
    </tableColumn>
    <tableColumn id="5" xr3:uid="{B7EBB03B-F4D8-4C41-A369-4CFD6E692542}" name="Freie Eingabe Plan HHJ 21-22" totalsRowFunction="custom" dataDxfId="88" totalsRowDxfId="87">
      <totalsRowFormula>SUBTOTAL(109,I10:I22)</totalsRowFormula>
    </tableColumn>
    <tableColumn id="7" xr3:uid="{2068DCC3-3C69-4566-A46B-F3C33964A45D}" name="IST HHJ 21-22" totalsRowFunction="custom" dataDxfId="86" totalsRowDxfId="85">
      <totalsRowFormula>SUBTOTAL(109,J10:J22)</totalsRowFormula>
    </tableColumn>
    <tableColumn id="8" xr3:uid="{D9CABA9D-B4A1-43BF-A785-63F328B0C03C}" name="Abschluss 20-21" dataDxfId="84" totalsRowDxfId="83"/>
    <tableColumn id="9" xr3:uid="{067D50C7-3E5A-4AC1-BA25-32EDA04727E6}" name="Plan HHJ 20-21" dataDxfId="82" totalsRowDxfId="81"/>
  </tableColumns>
  <tableStyleInfo name="TableStyleLight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A83C2C4B-C0B1-46D2-8743-BEA54C8D2783}" name="Tabelle41023273160" displayName="Tabelle41023273160" ref="A35:L47" totalsRowCount="1" headerRowDxfId="80" dataDxfId="79" totalsRowDxfId="78">
  <autoFilter ref="A35:L46" xr:uid="{A83C2C4B-C0B1-46D2-8743-BEA54C8D2783}"/>
  <tableColumns count="12">
    <tableColumn id="13" xr3:uid="{95A1474C-7A85-4959-B7F9-A4C0599B05FD}" name="Lfd. Nr." dataDxfId="77" totalsRowDxfId="76">
      <calculatedColumnFormula>ROW(#REF!)</calculatedColumnFormula>
    </tableColumn>
    <tableColumn id="1" xr3:uid="{2AB1ACE0-31B9-4E3F-8271-C982EE543F16}" name="Beschreibung/ Kurzbezeichnung" totalsRowLabel="Gesamt:  " dataDxfId="75" totalsRowDxfId="74"/>
    <tableColumn id="2" xr3:uid="{CB80E6D7-30BD-44E3-B649-AD06F4A37010}" name="Teilnahmebeiträge Fachseminare" totalsRowFunction="custom" dataDxfId="73" totalsRowDxfId="72">
      <totalsRowFormula>SUBTOTAL(9,Tabelle41023273160[Teilnahmebeiträge Fachseminare])</totalsRowFormula>
    </tableColumn>
    <tableColumn id="3" xr3:uid="{BAC7387E-A05E-4820-BB45-73F76EEF23A2}" name="Teilnahmebeiträge Veranstaltungen" totalsRowFunction="custom" dataDxfId="71" totalsRowDxfId="70">
      <totalsRowFormula>SUBTOTAL(9,Tabelle41023273160[Teilnahmebeiträge Veranstaltungen])</totalsRowFormula>
    </tableColumn>
    <tableColumn id="4" xr3:uid="{1408D24E-9A2C-4136-823F-7B9C5B002C40}" name="Sonstige Einnahmen" totalsRowFunction="custom" dataDxfId="69" totalsRowDxfId="68">
      <totalsRowFormula>SUBTOTAL(9,Tabelle41023273160[Sonstige Einnahmen])</totalsRowFormula>
    </tableColumn>
    <tableColumn id="5" xr3:uid="{E0687793-5654-4570-83D2-42850E842B95}" name="Honorare Dozierende Fachseminare" totalsRowFunction="custom" dataDxfId="67" totalsRowDxfId="66">
      <totalsRowFormula>SUBTOTAL(9,Tabelle41023273160[Honorare Dozierende Fachseminare])</totalsRowFormula>
    </tableColumn>
    <tableColumn id="6" xr3:uid="{836E0563-CD5B-4E48-AA44-FCB74DBD120B}" name="Aufwandsentschädigungen" totalsRowFunction="custom" dataDxfId="65" totalsRowDxfId="64">
      <totalsRowFormula>SUBTOTAL(9,Tabelle41023273160[Aufwandsentschädigungen])</totalsRowFormula>
    </tableColumn>
    <tableColumn id="7" xr3:uid="{642C0CCF-95D0-4648-AA3C-C24BD45FDB24}" name="Externe Reisekosten" totalsRowFunction="custom" dataDxfId="63" totalsRowDxfId="62">
      <totalsRowFormula>SUBTOTAL(9,Tabelle41023273160[Externe Reisekosten])</totalsRowFormula>
    </tableColumn>
    <tableColumn id="8" xr3:uid="{366496B6-628A-47F4-8F00-CFAD3D9975E0}" name="Repräsentation/Bewirtung extern" totalsRowFunction="custom" dataDxfId="61" totalsRowDxfId="60">
      <totalsRowFormula>SUBTOTAL(9,Tabelle41023273160[Repräsentation/Bewirtung extern])</totalsRowFormula>
    </tableColumn>
    <tableColumn id="9" xr3:uid="{2B7BF19E-AC1E-480F-A291-03DA46423A11}" name="Raum + Unterkunft extern" totalsRowFunction="custom" dataDxfId="59" totalsRowDxfId="58">
      <totalsRowFormula>SUBTOTAL(9,Tabelle41023273160[Raum + Unterkunft extern])</totalsRowFormula>
    </tableColumn>
    <tableColumn id="10" xr3:uid="{D5AA2252-14C3-4EF4-9CD6-7080251DA7EA}" name="Verwaltungs- und Druckkosten" totalsRowFunction="custom" dataDxfId="57" totalsRowDxfId="56">
      <totalsRowFormula>SUBTOTAL(9,Tabelle41023273160[Verwaltungs- und Druckkosten])</totalsRowFormula>
    </tableColumn>
    <tableColumn id="11" xr3:uid="{277B6E97-3502-4514-A6EA-70ADC1C15CEA}" name="Gesamt" totalsRowFunction="custom" dataDxfId="55" totalsRowDxfId="54">
      <totalsRowFormula>SUBTOTAL(9,Tabelle41023273160[Gesamt])</totalsRowFormula>
    </tableColumn>
  </tableColumns>
  <tableStyleInfo name="TableStyleLight19"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8704380E-39FE-42C5-B7B1-48BE93649564}" name="Tabelle51324283261" displayName="Tabelle51324283261" ref="A52:O65" totalsRowCount="1" headerRowDxfId="53" dataDxfId="52" totalsRowDxfId="51">
  <autoFilter ref="A52:O64" xr:uid="{8704380E-39FE-42C5-B7B1-48BE93649564}"/>
  <tableColumns count="15">
    <tableColumn id="14" xr3:uid="{CA428BD3-BE9C-429C-A88B-BA6645A57E9C}" name="Lfd. Nr." dataDxfId="50" totalsRowDxfId="49">
      <calculatedColumnFormula>ROW(A1)</calculatedColumnFormula>
    </tableColumn>
    <tableColumn id="1" xr3:uid="{CEE22286-7F24-4F98-B2FA-FC48C9AED318}" name="Beschreibung" totalsRowLabel="Gesamt:  " dataDxfId="48" totalsRowDxfId="47"/>
    <tableColumn id="2" xr3:uid="{377C93D0-104F-4C8A-A0E4-98F33A17A3E1}" name="Teilnahmebeiträge Veranstaltungen" totalsRowFunction="custom" dataDxfId="46" totalsRowDxfId="45">
      <totalsRowFormula>SUBTOTAL(9,Tabelle51324283261[Teilnahmebeiträge Veranstaltungen])</totalsRowFormula>
    </tableColumn>
    <tableColumn id="3" xr3:uid="{3907C5C6-5E58-4A3B-A6BC-B9B34C80A004}" name="Sonstige Einnahmen" totalsRowFunction="custom" dataDxfId="44" totalsRowDxfId="43">
      <totalsRowFormula>SUBTOTAL(9,Tabelle51324283261[Sonstige Einnahmen])</totalsRowFormula>
    </tableColumn>
    <tableColumn id="4" xr3:uid="{6367F0B5-9606-42CF-9BCA-7E3086B53F66}" name="Aufwandsentschädigungen" totalsRowFunction="custom" dataDxfId="42" totalsRowDxfId="41">
      <totalsRowFormula>SUBTOTAL(9,Tabelle51324283261[Aufwandsentschädigungen])</totalsRowFormula>
    </tableColumn>
    <tableColumn id="5" xr3:uid="{DBBF790C-CA11-4B91-9074-B60AD69400A8}" name="Interne Reisekosten" totalsRowFunction="custom" dataDxfId="40" totalsRowDxfId="39">
      <totalsRowFormula>SUBTOTAL(9,Tabelle51324283261[Interne Reisekosten])</totalsRowFormula>
    </tableColumn>
    <tableColumn id="6" xr3:uid="{0E981B95-9073-44BE-82F6-1BD629D0D904}" name="Raum + Unterkunft intern" totalsRowFunction="custom" dataDxfId="38" totalsRowDxfId="37">
      <totalsRowFormula>SUBTOTAL(9,Tabelle51324283261[Raum + Unterkunft intern])</totalsRowFormula>
    </tableColumn>
    <tableColumn id="7" xr3:uid="{E815B5B9-5AD1-48E8-BDD5-24919BBDD32B}" name="Repräsentation/Bewirtung intern" totalsRowFunction="custom" dataDxfId="36" totalsRowDxfId="35">
      <totalsRowFormula>SUBTOTAL(9,Tabelle51324283261[Repräsentation/Bewirtung intern])</totalsRowFormula>
    </tableColumn>
    <tableColumn id="8" xr3:uid="{218B8E40-1FDA-4280-BA3E-7C39DC883EFE}" name="Repräsentation/Bewirtung extern" totalsRowFunction="custom" dataDxfId="34" totalsRowDxfId="33">
      <totalsRowFormula>SUBTOTAL(9,Tabelle51324283261[Repräsentation/Bewirtung extern])</totalsRowFormula>
    </tableColumn>
    <tableColumn id="9" xr3:uid="{A0529DD2-3C55-4EA8-97E4-05621E7DA9FF}" name="Raum + Unterkunft extern" totalsRowFunction="custom" dataDxfId="32" totalsRowDxfId="31">
      <totalsRowFormula>SUBTOTAL(9,Tabelle51324283261[Raum + Unterkunft extern])</totalsRowFormula>
    </tableColumn>
    <tableColumn id="10" xr3:uid="{5E9932F4-7628-4E06-B36C-70880482E128}" name="Druckkosten" totalsRowFunction="custom" dataDxfId="30" totalsRowDxfId="29">
      <totalsRowFormula>SUBTOTAL(9,Tabelle51324283261[Druckkosten])</totalsRowFormula>
    </tableColumn>
    <tableColumn id="11" xr3:uid="{DA0E8E55-9184-47F4-8C28-7CB7B8AE7AD9}" name="Sonstige Kosten" totalsRowFunction="custom" dataDxfId="28" totalsRowDxfId="27">
      <totalsRowFormula>SUBTOTAL(9,Tabelle51324283261[Sonstige Kosten])</totalsRowFormula>
    </tableColumn>
    <tableColumn id="12" xr3:uid="{380776D1-524D-4D88-9354-5B5D5C11DB13}" name="Rechtsangelegenheiten" totalsRowFunction="custom" dataDxfId="26" totalsRowDxfId="25">
      <totalsRowFormula>SUBTOTAL(9,Tabelle51324283261[Rechtsangelegenheiten])</totalsRowFormula>
    </tableColumn>
    <tableColumn id="15" xr3:uid="{9A15CD6E-CA2F-41DF-A7B5-924512D41E1D}" name="Andere Honorare" totalsRowFunction="sum" dataDxfId="24" totalsRowDxfId="23"/>
    <tableColumn id="13" xr3:uid="{83ED4113-AD9B-49F1-9A5C-74EDEAA02D3C}" name="Gesamt" totalsRowFunction="custom" dataDxfId="22" totalsRowDxfId="21">
      <calculatedColumnFormula>SUM(C53+D53)-SUM(F53:N53)</calculatedColumnFormula>
      <totalsRowFormula>SUBTOTAL(9,Tabelle51324283261[Gesamt])</totalsRowFormula>
    </tableColumn>
  </tableColumns>
  <tableStyleInfo name="TableStyleLight16"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F4A4D80C-BAC4-4BA1-B1D3-B3A0447B1C70}" name="Tabelle61525293362" displayName="Tabelle61525293362" ref="A70:I80" totalsRowCount="1" headerRowDxfId="20" dataDxfId="19" totalsRowDxfId="18" dataCellStyle="Link">
  <autoFilter ref="A70:I79" xr:uid="{F4A4D80C-BAC4-4BA1-B1D3-B3A0447B1C70}"/>
  <tableColumns count="9">
    <tableColumn id="1" xr3:uid="{B1E257FB-210B-40DF-8DE2-BB335F88A792}" name="Lfd. Nr. " dataDxfId="17" totalsRowDxfId="16">
      <calculatedColumnFormula>ROW(A1)</calculatedColumnFormula>
    </tableColumn>
    <tableColumn id="8" xr3:uid="{FA72837D-B1AA-4543-97DF-5B5CDFD3904C}" name="Sitzung/Tätigkeit" dataDxfId="15" totalsRowDxfId="14"/>
    <tableColumn id="9" xr3:uid="{A2D50777-B73B-4D90-9D0A-225E7BA6736A}" name="Ort oder Datum (falls bekannt)" dataDxfId="13" totalsRowDxfId="12"/>
    <tableColumn id="7" xr3:uid="{12865A4B-E359-430E-9140-540F2AA4DEA1}" name="Art" totalsRowLabel="Gesamt:  " dataDxfId="11" totalsRowDxfId="10"/>
    <tableColumn id="2" xr3:uid="{8E597A24-90B5-4E0F-8C41-B97518D6A5F2}" name="Aufwandsentschädigungen" totalsRowFunction="custom" dataDxfId="9" totalsRowDxfId="8" dataCellStyle="Link">
      <totalsRowFormula>SUBTOTAL(9,Tabelle61525293362[Aufwandsentschädigungen])</totalsRowFormula>
    </tableColumn>
    <tableColumn id="3" xr3:uid="{490E1C82-1062-40E8-9220-9A6CFD628EB5}" name="Interne Reisekosten" totalsRowFunction="custom" dataDxfId="7" totalsRowDxfId="6" dataCellStyle="Link">
      <totalsRowFormula>SUBTOTAL(9,Tabelle61525293362[Interne Reisekosten])</totalsRowFormula>
    </tableColumn>
    <tableColumn id="4" xr3:uid="{39F1926B-EDDE-4406-97F1-F9123965F5D8}" name="Raum + Unterkunft intern" totalsRowFunction="custom" dataDxfId="5" totalsRowDxfId="4" dataCellStyle="Link">
      <totalsRowFormula>SUBTOTAL(9,Tabelle61525293362[Raum + Unterkunft intern])</totalsRowFormula>
    </tableColumn>
    <tableColumn id="5" xr3:uid="{0B1C27FD-439B-4C0A-AF4D-16401B8672AC}" name="Repräsentation/Bewirtung intern" totalsRowFunction="custom" dataDxfId="3" totalsRowDxfId="2" dataCellStyle="Link">
      <totalsRowFormula>SUBTOTAL(9,Tabelle61525293362[Repräsentation/Bewirtung intern])</totalsRowFormula>
    </tableColumn>
    <tableColumn id="6" xr3:uid="{BE32E43E-000D-44C4-8D37-69C03D0A5E23}" name="Gesamt" totalsRowFunction="custom" dataDxfId="1" totalsRowDxfId="0">
      <totalsRowFormula>SUBTOTAL(9,Tabelle61525293362[Gesamt])</totalsRowFormula>
    </tableColumn>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C5B13C7-4806-42D8-9680-4CD39810CC36}" name="Tabelle35837" displayName="Tabelle35837" ref="H15:M23" totalsRowShown="0" headerRowDxfId="1197" dataDxfId="1195" headerRowBorderDxfId="1196" tableBorderDxfId="1194" totalsRowBorderDxfId="1193">
  <autoFilter ref="H15:M23" xr:uid="{2C5B13C7-4806-42D8-9680-4CD39810CC36}"/>
  <tableColumns count="6">
    <tableColumn id="1" xr3:uid="{AAFECC39-0229-48C3-A70D-360E58B9E654}" name="Vertrag Nr." dataDxfId="1192"/>
    <tableColumn id="2" xr3:uid="{36CEC3BA-89D7-4CF5-BE5C-B164C72BCC9E}" name="Vertragsinhalt*" dataDxfId="1191"/>
    <tableColumn id="3" xr3:uid="{BBD79410-B654-4D4F-A1DD-720908247E69}" name="Vertragspartner" dataDxfId="1190"/>
    <tableColumn id="4" xr3:uid="{2E50D3CD-F936-44BF-B2E8-9E56ECEE0136}" name="Beträge/Budget" dataDxfId="1189"/>
    <tableColumn id="6" xr3:uid="{DFC706F5-E380-4AC2-A654-F03DDD4B5364}" name="Titel" dataDxfId="1188"/>
    <tableColumn id="5" xr3:uid="{B08F1121-460B-4E22-AE18-8CE08C80C3F8}" name="Laufzeit" dataDxfId="1187"/>
  </tableColumns>
  <tableStyleInfo name="TableStyleLight2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434B1423-1CDA-40FB-83B9-A3A15465DC0B}" name="Tabelle3581143" displayName="Tabelle3581143" ref="H27:M34" totalsRowShown="0" headerRowDxfId="1186" dataDxfId="1184" headerRowBorderDxfId="1185" tableBorderDxfId="1183" totalsRowBorderDxfId="1182">
  <autoFilter ref="H27:M34" xr:uid="{434B1423-1CDA-40FB-83B9-A3A15465DC0B}"/>
  <tableColumns count="6">
    <tableColumn id="1" xr3:uid="{77F259F6-65DE-458B-989C-0486A239E476}" name="Vertrag Nr." dataDxfId="1181"/>
    <tableColumn id="2" xr3:uid="{78191D41-6B82-4598-9326-B5956183A07D}" name="Vertragsinhalt*" dataDxfId="1180"/>
    <tableColumn id="3" xr3:uid="{C9AF7333-F775-45CB-8929-FE631D5EF5AA}" name="Vertragspartner" dataDxfId="1179"/>
    <tableColumn id="4" xr3:uid="{B6F60398-E6CB-431A-A2E2-51F673F962A5}" name="Beträge/Budget" dataDxfId="1178"/>
    <tableColumn id="6" xr3:uid="{218AADDC-CCF0-4FD3-B758-0BA522B69E2E}" name="Titel" dataDxfId="1177"/>
    <tableColumn id="5" xr3:uid="{B44149F2-2D2C-45D7-80D5-C8C1B7906D6D}" name="Laufzeit" dataDxfId="1176"/>
  </tableColumns>
  <tableStyleInfo name="TableStyleLight2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8C56EAD-F788-4ABD-8182-EE370664CE9A}" name="Tabelle19" displayName="Tabelle19" ref="A3:C15" totalsRowCount="1" headerRowDxfId="1175" tableBorderDxfId="1174">
  <autoFilter ref="A3:C14" xr:uid="{B9E0DC78-19CC-4E7E-AEB5-3884959E1CDA}"/>
  <tableColumns count="3">
    <tableColumn id="1" xr3:uid="{0D5FAF1D-6687-4570-9393-4A19A59450A4}" name="Empfänger" totalsRowLabel="Ergebnis" totalsRowDxfId="1173"/>
    <tableColumn id="2" xr3:uid="{844DE3F2-90A9-4E81-82A6-FAFA27FE2947}" name="Art" totalsRowDxfId="1172"/>
    <tableColumn id="3" xr3:uid="{C18B2CA8-1C07-439A-ABF8-448E292DCBF4}" name="Höhe p.A." totalsRowFunction="sum" dataDxfId="1171" totalsRowDxfId="1170"/>
  </tableColumns>
  <tableStyleInfo name="TableStyleLight17"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41.xml"/><Relationship Id="rId3" Type="http://schemas.openxmlformats.org/officeDocument/2006/relationships/table" Target="../tables/table36.xml"/><Relationship Id="rId7" Type="http://schemas.openxmlformats.org/officeDocument/2006/relationships/table" Target="../tables/table40.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6" Type="http://schemas.openxmlformats.org/officeDocument/2006/relationships/table" Target="../tables/table39.xml"/><Relationship Id="rId5" Type="http://schemas.openxmlformats.org/officeDocument/2006/relationships/table" Target="../tables/table38.xml"/><Relationship Id="rId10" Type="http://schemas.openxmlformats.org/officeDocument/2006/relationships/comments" Target="../comments2.xml"/><Relationship Id="rId4" Type="http://schemas.openxmlformats.org/officeDocument/2006/relationships/table" Target="../tables/table37.xml"/><Relationship Id="rId9" Type="http://schemas.openxmlformats.org/officeDocument/2006/relationships/table" Target="../tables/table42.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48.xml"/><Relationship Id="rId3" Type="http://schemas.openxmlformats.org/officeDocument/2006/relationships/table" Target="../tables/table43.xml"/><Relationship Id="rId7" Type="http://schemas.openxmlformats.org/officeDocument/2006/relationships/table" Target="../tables/table47.xml"/><Relationship Id="rId2" Type="http://schemas.openxmlformats.org/officeDocument/2006/relationships/vmlDrawing" Target="../drawings/vmlDrawing3.vml"/><Relationship Id="rId1" Type="http://schemas.openxmlformats.org/officeDocument/2006/relationships/printerSettings" Target="../printerSettings/printerSettings10.bin"/><Relationship Id="rId6" Type="http://schemas.openxmlformats.org/officeDocument/2006/relationships/table" Target="../tables/table46.xml"/><Relationship Id="rId5" Type="http://schemas.openxmlformats.org/officeDocument/2006/relationships/table" Target="../tables/table45.xml"/><Relationship Id="rId10" Type="http://schemas.openxmlformats.org/officeDocument/2006/relationships/comments" Target="../comments3.xml"/><Relationship Id="rId4" Type="http://schemas.openxmlformats.org/officeDocument/2006/relationships/table" Target="../tables/table44.xml"/><Relationship Id="rId9" Type="http://schemas.openxmlformats.org/officeDocument/2006/relationships/table" Target="../tables/table49.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55.xml"/><Relationship Id="rId3" Type="http://schemas.openxmlformats.org/officeDocument/2006/relationships/table" Target="../tables/table50.xml"/><Relationship Id="rId7" Type="http://schemas.openxmlformats.org/officeDocument/2006/relationships/table" Target="../tables/table54.xml"/><Relationship Id="rId2" Type="http://schemas.openxmlformats.org/officeDocument/2006/relationships/vmlDrawing" Target="../drawings/vmlDrawing4.vml"/><Relationship Id="rId1" Type="http://schemas.openxmlformats.org/officeDocument/2006/relationships/printerSettings" Target="../printerSettings/printerSettings11.bin"/><Relationship Id="rId6" Type="http://schemas.openxmlformats.org/officeDocument/2006/relationships/table" Target="../tables/table53.xml"/><Relationship Id="rId5" Type="http://schemas.openxmlformats.org/officeDocument/2006/relationships/table" Target="../tables/table52.xml"/><Relationship Id="rId10" Type="http://schemas.openxmlformats.org/officeDocument/2006/relationships/comments" Target="../comments4.xml"/><Relationship Id="rId4" Type="http://schemas.openxmlformats.org/officeDocument/2006/relationships/table" Target="../tables/table51.xml"/><Relationship Id="rId9"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62.xml"/><Relationship Id="rId3" Type="http://schemas.openxmlformats.org/officeDocument/2006/relationships/table" Target="../tables/table57.xml"/><Relationship Id="rId7" Type="http://schemas.openxmlformats.org/officeDocument/2006/relationships/table" Target="../tables/table61.xml"/><Relationship Id="rId2" Type="http://schemas.openxmlformats.org/officeDocument/2006/relationships/vmlDrawing" Target="../drawings/vmlDrawing5.vml"/><Relationship Id="rId1" Type="http://schemas.openxmlformats.org/officeDocument/2006/relationships/printerSettings" Target="../printerSettings/printerSettings12.bin"/><Relationship Id="rId6" Type="http://schemas.openxmlformats.org/officeDocument/2006/relationships/table" Target="../tables/table60.xml"/><Relationship Id="rId5" Type="http://schemas.openxmlformats.org/officeDocument/2006/relationships/table" Target="../tables/table59.xml"/><Relationship Id="rId10" Type="http://schemas.openxmlformats.org/officeDocument/2006/relationships/comments" Target="../comments5.xml"/><Relationship Id="rId4" Type="http://schemas.openxmlformats.org/officeDocument/2006/relationships/table" Target="../tables/table58.xml"/><Relationship Id="rId9" Type="http://schemas.openxmlformats.org/officeDocument/2006/relationships/table" Target="../tables/table6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6.bin"/><Relationship Id="rId5" Type="http://schemas.openxmlformats.org/officeDocument/2006/relationships/table" Target="../tables/table16.xml"/><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8" Type="http://schemas.openxmlformats.org/officeDocument/2006/relationships/table" Target="../tables/table23.xml"/><Relationship Id="rId13" Type="http://schemas.openxmlformats.org/officeDocument/2006/relationships/table" Target="../tables/table28.xml"/><Relationship Id="rId3" Type="http://schemas.openxmlformats.org/officeDocument/2006/relationships/table" Target="../tables/table18.xml"/><Relationship Id="rId7" Type="http://schemas.openxmlformats.org/officeDocument/2006/relationships/table" Target="../tables/table22.xml"/><Relationship Id="rId12" Type="http://schemas.openxmlformats.org/officeDocument/2006/relationships/table" Target="../tables/table27.xml"/><Relationship Id="rId2" Type="http://schemas.openxmlformats.org/officeDocument/2006/relationships/table" Target="../tables/table17.xml"/><Relationship Id="rId1" Type="http://schemas.openxmlformats.org/officeDocument/2006/relationships/printerSettings" Target="../printerSettings/printerSettings7.bin"/><Relationship Id="rId6" Type="http://schemas.openxmlformats.org/officeDocument/2006/relationships/table" Target="../tables/table21.xml"/><Relationship Id="rId11" Type="http://schemas.openxmlformats.org/officeDocument/2006/relationships/table" Target="../tables/table26.xml"/><Relationship Id="rId5" Type="http://schemas.openxmlformats.org/officeDocument/2006/relationships/table" Target="../tables/table20.xml"/><Relationship Id="rId10" Type="http://schemas.openxmlformats.org/officeDocument/2006/relationships/table" Target="../tables/table25.xml"/><Relationship Id="rId4" Type="http://schemas.openxmlformats.org/officeDocument/2006/relationships/table" Target="../tables/table19.xml"/><Relationship Id="rId9"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8" Type="http://schemas.openxmlformats.org/officeDocument/2006/relationships/table" Target="../tables/table34.xml"/><Relationship Id="rId3" Type="http://schemas.openxmlformats.org/officeDocument/2006/relationships/table" Target="../tables/table29.xml"/><Relationship Id="rId7" Type="http://schemas.openxmlformats.org/officeDocument/2006/relationships/table" Target="../tables/table33.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6" Type="http://schemas.openxmlformats.org/officeDocument/2006/relationships/table" Target="../tables/table32.xml"/><Relationship Id="rId5" Type="http://schemas.openxmlformats.org/officeDocument/2006/relationships/table" Target="../tables/table31.xml"/><Relationship Id="rId10" Type="http://schemas.openxmlformats.org/officeDocument/2006/relationships/comments" Target="../comments1.xml"/><Relationship Id="rId4" Type="http://schemas.openxmlformats.org/officeDocument/2006/relationships/table" Target="../tables/table30.xml"/><Relationship Id="rId9" Type="http://schemas.openxmlformats.org/officeDocument/2006/relationships/table" Target="../tables/table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B9D14-B5BD-4E59-9883-19E6DC54E729}">
  <sheetPr codeName="Tabelle1"/>
  <dimension ref="A1:V311"/>
  <sheetViews>
    <sheetView zoomScaleNormal="100" workbookViewId="0">
      <pane xSplit="2" ySplit="5" topLeftCell="D251" activePane="bottomRight" state="frozen"/>
      <selection pane="topRight" activeCell="C1" sqref="C1"/>
      <selection pane="bottomLeft" activeCell="A6" sqref="A6"/>
      <selection pane="bottomRight" activeCell="P267" sqref="P267"/>
    </sheetView>
  </sheetViews>
  <sheetFormatPr baseColWidth="10" defaultColWidth="11.5" defaultRowHeight="15" outlineLevelRow="3" x14ac:dyDescent="0.2"/>
  <cols>
    <col min="1" max="1" width="11.33203125" style="118" customWidth="1"/>
    <col min="2" max="2" width="1" style="131" hidden="1" customWidth="1"/>
    <col min="3" max="3" width="15.33203125" hidden="1" customWidth="1"/>
    <col min="4" max="4" width="50.6640625" customWidth="1"/>
    <col min="5" max="6" width="20.5" customWidth="1"/>
    <col min="7" max="7" width="17.1640625" style="14" customWidth="1"/>
    <col min="8" max="8" width="15.6640625" style="14" customWidth="1"/>
    <col min="9" max="9" width="15" style="14" customWidth="1"/>
    <col min="10" max="10" width="0" hidden="1" customWidth="1"/>
    <col min="11" max="14" width="13.33203125" hidden="1" customWidth="1"/>
    <col min="15" max="15" width="13.5" customWidth="1"/>
    <col min="16" max="16" width="28.6640625" customWidth="1"/>
  </cols>
  <sheetData>
    <row r="1" spans="1:18" ht="24" x14ac:dyDescent="0.3">
      <c r="A1" s="189" t="s">
        <v>1320</v>
      </c>
      <c r="B1" s="127"/>
      <c r="C1" s="1"/>
    </row>
    <row r="3" spans="1:18" ht="16" x14ac:dyDescent="0.2">
      <c r="A3" s="188" t="s">
        <v>0</v>
      </c>
      <c r="B3" s="127"/>
      <c r="C3" s="5"/>
      <c r="D3" s="5"/>
      <c r="E3" s="5"/>
      <c r="F3" s="5"/>
      <c r="G3" s="15"/>
      <c r="H3" s="15"/>
      <c r="I3" s="15"/>
    </row>
    <row r="4" spans="1:18" ht="16" x14ac:dyDescent="0.2">
      <c r="A4" s="177"/>
      <c r="B4" s="127"/>
      <c r="C4" s="5"/>
      <c r="D4" s="5"/>
      <c r="E4" s="5"/>
      <c r="F4" s="5" t="s">
        <v>1301</v>
      </c>
      <c r="G4" s="15"/>
      <c r="H4" s="596"/>
      <c r="I4" s="596" t="s">
        <v>1223</v>
      </c>
    </row>
    <row r="5" spans="1:18" s="187" customFormat="1" ht="32" x14ac:dyDescent="0.2">
      <c r="A5" s="184" t="s">
        <v>1</v>
      </c>
      <c r="B5" s="185" t="s">
        <v>2</v>
      </c>
      <c r="C5" s="184" t="s">
        <v>3</v>
      </c>
      <c r="D5" s="184" t="s">
        <v>4</v>
      </c>
      <c r="E5" s="184" t="s">
        <v>1299</v>
      </c>
      <c r="F5" s="184" t="s">
        <v>1300</v>
      </c>
      <c r="G5" s="186" t="s">
        <v>5</v>
      </c>
      <c r="H5" s="186" t="s">
        <v>6</v>
      </c>
      <c r="I5" s="186" t="s">
        <v>7</v>
      </c>
      <c r="J5" s="186" t="s">
        <v>1297</v>
      </c>
      <c r="K5" s="186" t="s">
        <v>1298</v>
      </c>
      <c r="L5" s="666" t="s">
        <v>1294</v>
      </c>
      <c r="M5" s="666" t="s">
        <v>1295</v>
      </c>
      <c r="N5" s="666" t="s">
        <v>1296</v>
      </c>
      <c r="O5" s="666" t="s">
        <v>1270</v>
      </c>
      <c r="P5" s="187" t="s">
        <v>9</v>
      </c>
    </row>
    <row r="6" spans="1:18" s="6" customFormat="1" x14ac:dyDescent="0.2">
      <c r="A6" s="137" t="s">
        <v>11</v>
      </c>
      <c r="B6" s="128">
        <f t="shared" ref="B6:B65" si="0">ROW(B1)</f>
        <v>1</v>
      </c>
      <c r="C6" s="2"/>
      <c r="D6" s="2" t="s">
        <v>12</v>
      </c>
      <c r="E6" s="23">
        <f t="shared" ref="E6:L6" si="1">E7+E11++E18+E23+E27+E32</f>
        <v>774226.25</v>
      </c>
      <c r="F6" s="861">
        <v>1029666.04</v>
      </c>
      <c r="G6" s="23">
        <f t="shared" si="1"/>
        <v>1076950</v>
      </c>
      <c r="H6" s="23">
        <f>H7+H11++H18+H23+H27+H32</f>
        <v>600000</v>
      </c>
      <c r="I6" s="23">
        <f t="shared" si="1"/>
        <v>591157.19000000006</v>
      </c>
      <c r="J6" s="23">
        <f t="shared" si="1"/>
        <v>0</v>
      </c>
      <c r="K6" s="23">
        <f t="shared" si="1"/>
        <v>0</v>
      </c>
      <c r="L6" s="23">
        <f t="shared" si="1"/>
        <v>257110.45</v>
      </c>
      <c r="M6" s="23">
        <f t="shared" ref="M6" si="2">M7+M11++M18+M23+M27+M32</f>
        <v>458437.12</v>
      </c>
      <c r="N6" s="23">
        <f>N7+N11++N18+N23+N27+N32</f>
        <v>490824.83</v>
      </c>
      <c r="O6" s="16"/>
    </row>
    <row r="7" spans="1:18" outlineLevel="1" x14ac:dyDescent="0.2">
      <c r="A7" s="178" t="s">
        <v>13</v>
      </c>
      <c r="B7" s="129">
        <f t="shared" si="0"/>
        <v>2</v>
      </c>
      <c r="C7" s="4"/>
      <c r="D7" s="4" t="s">
        <v>14</v>
      </c>
      <c r="E7" s="17">
        <f>SUBTOTAL(9,E8:E9)</f>
        <v>752600</v>
      </c>
      <c r="F7" s="862">
        <v>1021311.04</v>
      </c>
      <c r="G7" s="17">
        <f>SUBTOTAL(9,G8:G9)</f>
        <v>1044000</v>
      </c>
      <c r="H7" s="17">
        <f>SUBTOTAL(9,H8:H9)</f>
        <v>560000</v>
      </c>
      <c r="I7" s="17">
        <f t="shared" ref="I7:K7" si="3">SUBTOTAL(9,I8:I9)</f>
        <v>578722.64</v>
      </c>
      <c r="J7" s="17">
        <f t="shared" si="3"/>
        <v>0</v>
      </c>
      <c r="K7" s="17">
        <f t="shared" si="3"/>
        <v>0</v>
      </c>
      <c r="L7" s="17">
        <f t="shared" ref="L7:M7" si="4">SUBTOTAL(9,L8:L9)</f>
        <v>255005.45</v>
      </c>
      <c r="M7" s="17">
        <f t="shared" si="4"/>
        <v>455812.12</v>
      </c>
      <c r="N7" s="17">
        <f>SUBTOTAL(9,N8:N9)</f>
        <v>487889.83</v>
      </c>
      <c r="O7" s="14"/>
      <c r="P7" t="s">
        <v>1355</v>
      </c>
      <c r="R7" s="6"/>
    </row>
    <row r="8" spans="1:18" outlineLevel="2" x14ac:dyDescent="0.2">
      <c r="A8" s="179" t="s">
        <v>15</v>
      </c>
      <c r="B8" s="130">
        <f t="shared" si="0"/>
        <v>3</v>
      </c>
      <c r="C8" s="3" t="s">
        <v>1186</v>
      </c>
      <c r="D8" s="3" t="s">
        <v>16</v>
      </c>
      <c r="E8" s="18">
        <f>(53000*9)*1.05</f>
        <v>500850</v>
      </c>
      <c r="F8" s="863">
        <v>1021311.04</v>
      </c>
      <c r="G8" s="18">
        <f>(58000*9)*1.05</f>
        <v>548100</v>
      </c>
      <c r="H8" s="18">
        <v>0</v>
      </c>
      <c r="I8" s="18"/>
      <c r="J8" s="18"/>
      <c r="K8" s="18"/>
      <c r="L8" s="18">
        <f>HHJ_2022_2023!H24</f>
        <v>255005.45</v>
      </c>
      <c r="M8" s="18">
        <f>HHJ_2022_2023!J24</f>
        <v>455812.12</v>
      </c>
      <c r="N8" s="18">
        <f>HHJ_2022_2023!L24</f>
        <v>487889.83</v>
      </c>
      <c r="O8" s="14"/>
      <c r="P8" t="s">
        <v>1356</v>
      </c>
      <c r="Q8" s="6"/>
      <c r="R8" s="6"/>
    </row>
    <row r="9" spans="1:18" outlineLevel="2" x14ac:dyDescent="0.2">
      <c r="A9" s="179" t="s">
        <v>17</v>
      </c>
      <c r="B9" s="130">
        <f t="shared" si="0"/>
        <v>4</v>
      </c>
      <c r="C9" s="3" t="s">
        <v>1185</v>
      </c>
      <c r="D9" s="3" t="s">
        <v>18</v>
      </c>
      <c r="E9" s="18">
        <f>(53000*5)*0.95</f>
        <v>251750</v>
      </c>
      <c r="F9" s="863">
        <v>0</v>
      </c>
      <c r="G9" s="18">
        <f>(58000*9)*0.95</f>
        <v>495900</v>
      </c>
      <c r="H9" s="18">
        <v>560000</v>
      </c>
      <c r="I9" s="18">
        <v>578722.64</v>
      </c>
      <c r="J9" s="18"/>
      <c r="K9" s="18"/>
      <c r="L9" s="18">
        <v>0</v>
      </c>
      <c r="M9" s="18">
        <v>0</v>
      </c>
      <c r="N9" s="18">
        <v>0</v>
      </c>
      <c r="O9" s="14"/>
      <c r="R9" s="6"/>
    </row>
    <row r="10" spans="1:18" outlineLevel="1" x14ac:dyDescent="0.2">
      <c r="A10" s="180"/>
      <c r="B10" s="131">
        <f t="shared" si="0"/>
        <v>5</v>
      </c>
      <c r="C10" s="24"/>
      <c r="D10" s="24"/>
      <c r="E10" s="24"/>
      <c r="F10" s="25"/>
      <c r="G10" s="25"/>
      <c r="H10" s="25"/>
      <c r="I10" s="25"/>
      <c r="J10" s="25"/>
      <c r="K10" s="25"/>
      <c r="L10" s="25"/>
      <c r="M10" s="25"/>
      <c r="N10" s="25"/>
      <c r="O10" s="14"/>
      <c r="Q10" s="6"/>
      <c r="R10" s="6"/>
    </row>
    <row r="11" spans="1:18" outlineLevel="1" x14ac:dyDescent="0.2">
      <c r="A11" s="178" t="s">
        <v>19</v>
      </c>
      <c r="B11" s="129">
        <f t="shared" si="0"/>
        <v>6</v>
      </c>
      <c r="C11" s="4"/>
      <c r="D11" s="4" t="s">
        <v>20</v>
      </c>
      <c r="E11" s="17">
        <f>SUBTOTAL(9,E12:E15)</f>
        <v>4500</v>
      </c>
      <c r="F11" s="862">
        <v>3505</v>
      </c>
      <c r="G11" s="17">
        <f>SUBTOTAL(9,G12:G15)</f>
        <v>2000</v>
      </c>
      <c r="H11" s="17">
        <f>SUBTOTAL(9,H12:H15)</f>
        <v>6000</v>
      </c>
      <c r="I11" s="17">
        <f t="shared" ref="I11:L11" si="5">SUBTOTAL(9,I12:I15)</f>
        <v>6205</v>
      </c>
      <c r="J11" s="17">
        <f t="shared" si="5"/>
        <v>0</v>
      </c>
      <c r="K11" s="17">
        <f t="shared" si="5"/>
        <v>0</v>
      </c>
      <c r="L11" s="17">
        <f t="shared" si="5"/>
        <v>1975</v>
      </c>
      <c r="M11" s="17">
        <f t="shared" ref="M11" si="6">SUBTOTAL(9,M12:M15)</f>
        <v>1975</v>
      </c>
      <c r="N11" s="17">
        <f>SUBTOTAL(9,N12:N15)</f>
        <v>1975</v>
      </c>
      <c r="O11" s="14"/>
      <c r="R11" s="6"/>
    </row>
    <row r="12" spans="1:18" outlineLevel="2" x14ac:dyDescent="0.2">
      <c r="A12" s="179" t="s">
        <v>21</v>
      </c>
      <c r="B12" s="130">
        <f t="shared" si="0"/>
        <v>7</v>
      </c>
      <c r="C12" s="3" t="s">
        <v>22</v>
      </c>
      <c r="D12" s="3" t="s">
        <v>23</v>
      </c>
      <c r="E12" s="18">
        <v>4000</v>
      </c>
      <c r="F12" s="863">
        <v>3505</v>
      </c>
      <c r="G12" s="18">
        <v>2000</v>
      </c>
      <c r="H12" s="18">
        <v>6000</v>
      </c>
      <c r="I12" s="18">
        <v>6205</v>
      </c>
      <c r="J12" s="18"/>
      <c r="K12" s="18"/>
      <c r="L12" s="18">
        <f>HHJ_2022_2023!H9+HHJ_2022_2023!H10</f>
        <v>1975</v>
      </c>
      <c r="M12" s="18">
        <f>HHJ_2022_2023!J9+HHJ_2022_2023!J10</f>
        <v>1975</v>
      </c>
      <c r="N12" s="18">
        <f>HHJ_2022_2023!L9+HHJ_2022_2023!L10</f>
        <v>1975</v>
      </c>
      <c r="O12" s="14"/>
      <c r="Q12" s="6"/>
      <c r="R12" s="6"/>
    </row>
    <row r="13" spans="1:18" outlineLevel="2" x14ac:dyDescent="0.2">
      <c r="A13" s="179" t="s">
        <v>24</v>
      </c>
      <c r="B13" s="130">
        <f t="shared" si="0"/>
        <v>8</v>
      </c>
      <c r="C13" s="252">
        <v>119.21</v>
      </c>
      <c r="D13" s="3" t="s">
        <v>25</v>
      </c>
      <c r="E13" s="18">
        <v>0</v>
      </c>
      <c r="F13" s="863">
        <v>0</v>
      </c>
      <c r="G13" s="18">
        <v>0</v>
      </c>
      <c r="H13" s="18">
        <v>0</v>
      </c>
      <c r="I13" s="18">
        <v>0</v>
      </c>
      <c r="J13" s="18"/>
      <c r="K13" s="18"/>
      <c r="L13" s="18">
        <f>HHJ_2022_2023!H7</f>
        <v>0</v>
      </c>
      <c r="M13" s="18">
        <f>HHJ_2022_2023!J7</f>
        <v>0</v>
      </c>
      <c r="N13" s="18">
        <f>HHJ_2022_2023!L7</f>
        <v>0</v>
      </c>
      <c r="O13" s="14"/>
      <c r="R13" s="6"/>
    </row>
    <row r="14" spans="1:18" outlineLevel="2" x14ac:dyDescent="0.2">
      <c r="A14" s="179" t="s">
        <v>26</v>
      </c>
      <c r="B14" s="130">
        <f>ROW(B9)</f>
        <v>9</v>
      </c>
      <c r="C14" s="3" t="s">
        <v>27</v>
      </c>
      <c r="D14" s="3" t="s">
        <v>28</v>
      </c>
      <c r="E14" s="18">
        <v>500</v>
      </c>
      <c r="F14" s="863">
        <v>0</v>
      </c>
      <c r="G14" s="18">
        <v>0</v>
      </c>
      <c r="H14" s="18">
        <v>0</v>
      </c>
      <c r="I14" s="18">
        <v>0</v>
      </c>
      <c r="J14" s="18"/>
      <c r="K14" s="18"/>
      <c r="L14" s="18">
        <f>HHJ_2022_2023!H21</f>
        <v>0</v>
      </c>
      <c r="M14" s="18">
        <f>HHJ_2022_2023!J21</f>
        <v>0</v>
      </c>
      <c r="N14" s="18">
        <f>HHJ_2022_2023!L21</f>
        <v>0</v>
      </c>
      <c r="O14" s="14"/>
      <c r="Q14" s="6"/>
      <c r="R14" s="6"/>
    </row>
    <row r="15" spans="1:18" outlineLevel="2" x14ac:dyDescent="0.2">
      <c r="A15" s="179" t="s">
        <v>29</v>
      </c>
      <c r="B15" s="130">
        <f>ROW(B9)</f>
        <v>9</v>
      </c>
      <c r="C15" s="3" t="s">
        <v>30</v>
      </c>
      <c r="D15" s="3" t="s">
        <v>31</v>
      </c>
      <c r="E15" s="18">
        <v>0</v>
      </c>
      <c r="F15" s="863">
        <v>0</v>
      </c>
      <c r="G15" s="18">
        <v>0</v>
      </c>
      <c r="H15" s="18">
        <v>0</v>
      </c>
      <c r="I15" s="18">
        <v>0</v>
      </c>
      <c r="J15" s="18"/>
      <c r="K15" s="18"/>
      <c r="L15" s="18">
        <f>HHJ_2022_2023!H8</f>
        <v>0</v>
      </c>
      <c r="M15" s="18">
        <f>HHJ_2022_2023!J8</f>
        <v>0</v>
      </c>
      <c r="N15" s="18">
        <f>HHJ_2022_2023!L8</f>
        <v>0</v>
      </c>
      <c r="O15" s="14"/>
      <c r="R15" s="6"/>
    </row>
    <row r="16" spans="1:18" outlineLevel="1" x14ac:dyDescent="0.2">
      <c r="B16" s="131">
        <f>ROW(B10)</f>
        <v>10</v>
      </c>
      <c r="F16" s="25"/>
      <c r="J16" s="14"/>
      <c r="K16" s="14"/>
      <c r="L16" s="14"/>
      <c r="M16" s="14"/>
      <c r="N16" s="14"/>
      <c r="O16" s="14"/>
      <c r="Q16" s="6"/>
      <c r="R16" s="6"/>
    </row>
    <row r="17" spans="1:18" outlineLevel="1" x14ac:dyDescent="0.2">
      <c r="B17" s="131" t="e">
        <f>ROW(#REF!)</f>
        <v>#REF!</v>
      </c>
      <c r="F17" s="25"/>
      <c r="J17" s="14"/>
      <c r="K17" s="14"/>
      <c r="L17" s="14"/>
      <c r="M17" s="14"/>
      <c r="N17" s="14"/>
      <c r="O17" s="14"/>
      <c r="R17" s="6"/>
    </row>
    <row r="18" spans="1:18" outlineLevel="1" x14ac:dyDescent="0.2">
      <c r="A18" s="178" t="s">
        <v>32</v>
      </c>
      <c r="B18" s="129" t="e">
        <f>ROW(#REF!)</f>
        <v>#REF!</v>
      </c>
      <c r="C18" s="4"/>
      <c r="D18" s="4" t="s">
        <v>33</v>
      </c>
      <c r="E18" s="17">
        <f>SUBTOTAL(9,E19:E20)</f>
        <v>2950</v>
      </c>
      <c r="F18" s="862">
        <v>800</v>
      </c>
      <c r="G18" s="17">
        <f>SUBTOTAL(9,G19:G20)</f>
        <v>10250</v>
      </c>
      <c r="H18" s="17">
        <f>SUBTOTAL(9,H19:H21)</f>
        <v>11625</v>
      </c>
      <c r="I18" s="17">
        <f t="shared" ref="I18:L18" si="7">SUBTOTAL(9,I19:I20)</f>
        <v>0</v>
      </c>
      <c r="J18" s="17">
        <f t="shared" si="7"/>
        <v>0</v>
      </c>
      <c r="K18" s="17">
        <f t="shared" si="7"/>
        <v>0</v>
      </c>
      <c r="L18" s="17">
        <f t="shared" si="7"/>
        <v>0</v>
      </c>
      <c r="M18" s="17">
        <f t="shared" ref="M18" si="8">SUBTOTAL(9,M19:M20)</f>
        <v>0</v>
      </c>
      <c r="N18" s="17">
        <f>SUBTOTAL(9,N19:N20)</f>
        <v>0</v>
      </c>
      <c r="O18" s="14"/>
      <c r="Q18" s="6"/>
      <c r="R18" s="6"/>
    </row>
    <row r="19" spans="1:18" outlineLevel="2" x14ac:dyDescent="0.2">
      <c r="A19" s="179" t="s">
        <v>34</v>
      </c>
      <c r="B19" s="130" t="e">
        <f>ROW(#REF!)</f>
        <v>#REF!</v>
      </c>
      <c r="C19" s="3" t="s">
        <v>35</v>
      </c>
      <c r="D19" s="12" t="s">
        <v>36</v>
      </c>
      <c r="E19" s="18">
        <f>Referatspläne!N4</f>
        <v>2500</v>
      </c>
      <c r="F19" s="864">
        <v>160</v>
      </c>
      <c r="G19" s="18">
        <v>5200</v>
      </c>
      <c r="H19" s="18">
        <v>500</v>
      </c>
      <c r="I19" s="18">
        <v>0</v>
      </c>
      <c r="J19" s="18"/>
      <c r="K19" s="18"/>
      <c r="L19" s="18">
        <f>HHJ_2022_2023!H18*0.2</f>
        <v>0</v>
      </c>
      <c r="M19" s="18">
        <f>HHJ_2022_2023!J18*0.2</f>
        <v>0</v>
      </c>
      <c r="N19" s="18">
        <f>HHJ_2022_2023!L18*0.2</f>
        <v>0</v>
      </c>
      <c r="O19" s="14"/>
      <c r="R19" s="6"/>
    </row>
    <row r="20" spans="1:18" outlineLevel="2" x14ac:dyDescent="0.2">
      <c r="A20" s="179" t="s">
        <v>37</v>
      </c>
      <c r="B20" s="130" t="e">
        <f>ROW(#REF!)</f>
        <v>#REF!</v>
      </c>
      <c r="C20" s="3" t="s">
        <v>38</v>
      </c>
      <c r="D20" s="12" t="s">
        <v>39</v>
      </c>
      <c r="E20" s="18">
        <f>Referatspläne!O4</f>
        <v>450</v>
      </c>
      <c r="F20" s="864">
        <v>640</v>
      </c>
      <c r="G20" s="18">
        <v>5050</v>
      </c>
      <c r="H20" s="18">
        <v>11125</v>
      </c>
      <c r="I20" s="18">
        <v>0</v>
      </c>
      <c r="J20" s="18"/>
      <c r="K20" s="18"/>
      <c r="L20" s="18">
        <f>(HHJ_2022_2023!H18*0.8)+(HHJ_2022_2023!H19*0.25)+(HHJ_2022_2023!H20*0.55)</f>
        <v>0</v>
      </c>
      <c r="M20" s="18">
        <f>(HHJ_2022_2023!J18*0.8)+(HHJ_2022_2023!J19*0.25)+(HHJ_2022_2023!J20*0.55)</f>
        <v>0</v>
      </c>
      <c r="N20" s="18">
        <f>(HHJ_2022_2023!L18*0.8)+(HHJ_2022_2023!L19*0.25)+(HHJ_2022_2023!L20*0.55)</f>
        <v>0</v>
      </c>
      <c r="O20" s="14"/>
      <c r="Q20" s="6"/>
      <c r="R20" s="6"/>
    </row>
    <row r="21" spans="1:18" outlineLevel="2" x14ac:dyDescent="0.2">
      <c r="A21" s="179" t="s">
        <v>40</v>
      </c>
      <c r="B21" s="130" t="e">
        <f>ROW(#REF!)</f>
        <v>#REF!</v>
      </c>
      <c r="C21" s="3" t="s">
        <v>41</v>
      </c>
      <c r="D21" s="3" t="s">
        <v>42</v>
      </c>
      <c r="E21" s="3">
        <v>0</v>
      </c>
      <c r="F21" s="863"/>
      <c r="G21" s="18">
        <v>0</v>
      </c>
      <c r="H21" s="18">
        <v>0</v>
      </c>
      <c r="I21" s="18">
        <v>0</v>
      </c>
      <c r="J21" s="18"/>
      <c r="K21" s="18"/>
      <c r="L21" s="18"/>
      <c r="M21" s="18"/>
      <c r="N21" s="18"/>
      <c r="O21" s="14"/>
      <c r="R21" s="6"/>
    </row>
    <row r="22" spans="1:18" outlineLevel="1" x14ac:dyDescent="0.2">
      <c r="B22" s="131">
        <f t="shared" si="0"/>
        <v>17</v>
      </c>
      <c r="F22" s="25"/>
      <c r="J22" s="14"/>
      <c r="K22" s="14"/>
      <c r="L22" s="14"/>
      <c r="M22" s="14"/>
      <c r="N22" s="14"/>
      <c r="O22" s="14"/>
      <c r="Q22" s="6"/>
      <c r="R22" s="6"/>
    </row>
    <row r="23" spans="1:18" outlineLevel="1" x14ac:dyDescent="0.2">
      <c r="A23" s="178" t="s">
        <v>43</v>
      </c>
      <c r="B23" s="129">
        <f t="shared" si="0"/>
        <v>18</v>
      </c>
      <c r="C23" s="4"/>
      <c r="D23" s="4" t="s">
        <v>44</v>
      </c>
      <c r="E23" s="17">
        <f>SUBTOTAL(9,E24:E25)</f>
        <v>0</v>
      </c>
      <c r="F23" s="862">
        <v>0</v>
      </c>
      <c r="G23" s="17">
        <f>SUBTOTAL(9,G24:G25)</f>
        <v>0</v>
      </c>
      <c r="H23" s="17">
        <f>SUBTOTAL(9,H24:H25)</f>
        <v>0</v>
      </c>
      <c r="I23" s="17">
        <f t="shared" ref="I23:L23" si="9">SUBTOTAL(9,I24:I25)</f>
        <v>0</v>
      </c>
      <c r="J23" s="17">
        <f t="shared" si="9"/>
        <v>0</v>
      </c>
      <c r="K23" s="17">
        <f t="shared" si="9"/>
        <v>0</v>
      </c>
      <c r="L23" s="17">
        <f t="shared" si="9"/>
        <v>0</v>
      </c>
      <c r="M23" s="17">
        <f t="shared" ref="M23" si="10">SUBTOTAL(9,M24:M25)</f>
        <v>0</v>
      </c>
      <c r="N23" s="17">
        <f>SUBTOTAL(9,N24:N25)</f>
        <v>0</v>
      </c>
      <c r="O23" s="14"/>
      <c r="R23" s="6"/>
    </row>
    <row r="24" spans="1:18" outlineLevel="2" x14ac:dyDescent="0.2">
      <c r="A24" s="179" t="s">
        <v>45</v>
      </c>
      <c r="B24" s="130">
        <f t="shared" si="0"/>
        <v>19</v>
      </c>
      <c r="C24" s="3" t="s">
        <v>41</v>
      </c>
      <c r="D24" s="12" t="s">
        <v>46</v>
      </c>
      <c r="E24" s="978">
        <v>0</v>
      </c>
      <c r="F24" s="864"/>
      <c r="G24" s="18">
        <f>Referatspläne!P4</f>
        <v>0</v>
      </c>
      <c r="H24" s="18">
        <f>Referatspläne!P2</f>
        <v>0</v>
      </c>
      <c r="I24" s="18">
        <v>0</v>
      </c>
      <c r="J24" s="18"/>
      <c r="K24" s="18"/>
      <c r="L24" s="18"/>
      <c r="M24" s="18"/>
      <c r="N24" s="18"/>
      <c r="O24" s="14"/>
      <c r="Q24" s="6"/>
      <c r="R24" s="6"/>
    </row>
    <row r="25" spans="1:18" outlineLevel="2" x14ac:dyDescent="0.2">
      <c r="A25" s="179" t="s">
        <v>47</v>
      </c>
      <c r="B25" s="130">
        <f t="shared" si="0"/>
        <v>20</v>
      </c>
      <c r="C25" s="3" t="s">
        <v>41</v>
      </c>
      <c r="D25" s="3" t="s">
        <v>48</v>
      </c>
      <c r="E25" s="977">
        <v>0</v>
      </c>
      <c r="F25" s="863"/>
      <c r="G25" s="18">
        <v>0</v>
      </c>
      <c r="H25" s="18">
        <v>0</v>
      </c>
      <c r="I25" s="18">
        <v>0</v>
      </c>
      <c r="J25" s="18"/>
      <c r="K25" s="18"/>
      <c r="L25" s="18"/>
      <c r="M25" s="18"/>
      <c r="N25" s="18"/>
      <c r="O25" s="14"/>
      <c r="R25" s="6"/>
    </row>
    <row r="26" spans="1:18" outlineLevel="1" x14ac:dyDescent="0.2">
      <c r="B26" s="131">
        <f t="shared" si="0"/>
        <v>21</v>
      </c>
      <c r="F26" s="25"/>
      <c r="J26" s="14"/>
      <c r="K26" s="14"/>
      <c r="L26" s="14"/>
      <c r="M26" s="14"/>
      <c r="N26" s="14"/>
      <c r="O26" s="14"/>
      <c r="Q26" s="6"/>
      <c r="R26" s="6"/>
    </row>
    <row r="27" spans="1:18" outlineLevel="1" x14ac:dyDescent="0.2">
      <c r="A27" s="178" t="s">
        <v>49</v>
      </c>
      <c r="B27" s="129">
        <f t="shared" si="0"/>
        <v>22</v>
      </c>
      <c r="C27" s="4"/>
      <c r="D27" s="4" t="s">
        <v>50</v>
      </c>
      <c r="E27" s="17">
        <f>SUBTOTAL(9,E28:E30)</f>
        <v>9176.25</v>
      </c>
      <c r="F27" s="862">
        <v>0</v>
      </c>
      <c r="G27" s="17">
        <f>SUBTOTAL(9,G28:G30)</f>
        <v>17100</v>
      </c>
      <c r="H27" s="17">
        <f>SUBTOTAL(9,H28:H30)</f>
        <v>15375</v>
      </c>
      <c r="I27" s="17">
        <f t="shared" ref="I27:L27" si="11">SUBTOTAL(9,I28:I30)</f>
        <v>0</v>
      </c>
      <c r="J27" s="17">
        <f t="shared" si="11"/>
        <v>0</v>
      </c>
      <c r="K27" s="17">
        <f t="shared" si="11"/>
        <v>0</v>
      </c>
      <c r="L27" s="17">
        <f t="shared" si="11"/>
        <v>0</v>
      </c>
      <c r="M27" s="17">
        <f t="shared" ref="M27" si="12">SUBTOTAL(9,M28:M30)</f>
        <v>0</v>
      </c>
      <c r="N27" s="17">
        <f>SUBTOTAL(9,N28:N30)</f>
        <v>0</v>
      </c>
      <c r="O27" s="14"/>
      <c r="R27" s="6"/>
    </row>
    <row r="28" spans="1:18" outlineLevel="2" x14ac:dyDescent="0.2">
      <c r="A28" s="179" t="s">
        <v>51</v>
      </c>
      <c r="B28" s="130">
        <f t="shared" si="0"/>
        <v>23</v>
      </c>
      <c r="C28" s="3" t="s">
        <v>52</v>
      </c>
      <c r="D28" s="12" t="s">
        <v>53</v>
      </c>
      <c r="E28" s="18">
        <f>Referatspläne!Q4</f>
        <v>9176.25</v>
      </c>
      <c r="F28" s="864">
        <v>0</v>
      </c>
      <c r="G28" s="983">
        <v>10800</v>
      </c>
      <c r="H28" s="18">
        <v>10875</v>
      </c>
      <c r="I28" s="18">
        <v>0</v>
      </c>
      <c r="J28" s="18"/>
      <c r="K28" s="18"/>
      <c r="L28" s="18">
        <f>HHJ_2022_2023!H19*0.75</f>
        <v>0</v>
      </c>
      <c r="M28" s="18">
        <f>HHJ_2022_2023!J19*0.75</f>
        <v>0</v>
      </c>
      <c r="N28" s="18">
        <f>HHJ_2022_2023!L19*0.75</f>
        <v>0</v>
      </c>
      <c r="O28" s="14"/>
      <c r="Q28" s="6"/>
      <c r="R28" s="6"/>
    </row>
    <row r="29" spans="1:18" outlineLevel="2" x14ac:dyDescent="0.2">
      <c r="A29" s="179" t="s">
        <v>54</v>
      </c>
      <c r="B29" s="130">
        <f t="shared" si="0"/>
        <v>24</v>
      </c>
      <c r="C29" s="3" t="s">
        <v>55</v>
      </c>
      <c r="D29" s="12" t="s">
        <v>56</v>
      </c>
      <c r="E29" s="978">
        <v>0</v>
      </c>
      <c r="F29" s="864">
        <v>0</v>
      </c>
      <c r="G29" s="18">
        <v>4800</v>
      </c>
      <c r="H29" s="18">
        <v>4500</v>
      </c>
      <c r="I29" s="18">
        <v>0</v>
      </c>
      <c r="J29" s="18"/>
      <c r="K29" s="18"/>
      <c r="L29" s="18">
        <f>HHJ_2022_2023!H20*0.45</f>
        <v>0</v>
      </c>
      <c r="M29" s="18">
        <f>HHJ_2022_2023!J20*0.45</f>
        <v>0</v>
      </c>
      <c r="N29" s="18">
        <f>HHJ_2022_2023!L20*0.45</f>
        <v>0</v>
      </c>
      <c r="O29" s="14"/>
      <c r="R29" s="6"/>
    </row>
    <row r="30" spans="1:18" outlineLevel="2" x14ac:dyDescent="0.2">
      <c r="A30" s="179" t="s">
        <v>57</v>
      </c>
      <c r="B30" s="130">
        <f t="shared" si="0"/>
        <v>25</v>
      </c>
      <c r="C30" s="3" t="s">
        <v>41</v>
      </c>
      <c r="D30" s="12" t="s">
        <v>58</v>
      </c>
      <c r="E30" s="978">
        <v>0</v>
      </c>
      <c r="F30" s="864"/>
      <c r="G30" s="18">
        <v>1500</v>
      </c>
      <c r="H30" s="18">
        <v>0</v>
      </c>
      <c r="I30" s="18">
        <v>0</v>
      </c>
      <c r="J30" s="18"/>
      <c r="K30" s="18"/>
      <c r="L30" s="18"/>
      <c r="M30" s="18"/>
      <c r="N30" s="18"/>
      <c r="O30" s="14"/>
      <c r="Q30" s="6"/>
      <c r="R30" s="6"/>
    </row>
    <row r="31" spans="1:18" outlineLevel="1" x14ac:dyDescent="0.2">
      <c r="B31" s="131">
        <f t="shared" si="0"/>
        <v>26</v>
      </c>
      <c r="F31" s="25"/>
      <c r="J31" s="14"/>
      <c r="K31" s="14"/>
      <c r="L31" s="14"/>
      <c r="M31" s="14"/>
      <c r="N31" s="14"/>
      <c r="O31" s="14"/>
      <c r="R31" s="6"/>
    </row>
    <row r="32" spans="1:18" outlineLevel="1" x14ac:dyDescent="0.2">
      <c r="A32" s="178" t="s">
        <v>59</v>
      </c>
      <c r="B32" s="129">
        <f t="shared" si="0"/>
        <v>27</v>
      </c>
      <c r="C32" s="4"/>
      <c r="D32" s="4" t="s">
        <v>60</v>
      </c>
      <c r="E32" s="17">
        <f>SUBTOTAL(9,E33:E34)</f>
        <v>5000</v>
      </c>
      <c r="F32" s="862">
        <v>4050</v>
      </c>
      <c r="G32" s="17">
        <f>SUBTOTAL(9,G33:G34)</f>
        <v>3600</v>
      </c>
      <c r="H32" s="17">
        <f>SUBTOTAL(9,H33:H34)</f>
        <v>7000</v>
      </c>
      <c r="I32" s="17">
        <f t="shared" ref="I32:L32" si="13">SUBTOTAL(9,I33:I34)</f>
        <v>6229.55</v>
      </c>
      <c r="J32" s="17">
        <f t="shared" si="13"/>
        <v>0</v>
      </c>
      <c r="K32" s="17">
        <f t="shared" si="13"/>
        <v>0</v>
      </c>
      <c r="L32" s="17">
        <f t="shared" si="13"/>
        <v>130</v>
      </c>
      <c r="M32" s="17">
        <f t="shared" ref="M32" si="14">SUBTOTAL(9,M33:M34)</f>
        <v>650</v>
      </c>
      <c r="N32" s="17">
        <f>SUBTOTAL(9,N33:N34)</f>
        <v>960</v>
      </c>
      <c r="O32" s="14"/>
      <c r="Q32" s="6"/>
      <c r="R32" s="6"/>
    </row>
    <row r="33" spans="1:18" outlineLevel="3" x14ac:dyDescent="0.2">
      <c r="A33" s="179" t="s">
        <v>61</v>
      </c>
      <c r="B33" s="130">
        <f t="shared" si="0"/>
        <v>28</v>
      </c>
      <c r="C33" s="3" t="s">
        <v>59</v>
      </c>
      <c r="D33" s="3" t="s">
        <v>62</v>
      </c>
      <c r="E33" s="18">
        <v>5000</v>
      </c>
      <c r="F33" s="863">
        <v>4050</v>
      </c>
      <c r="G33" s="18">
        <v>3600</v>
      </c>
      <c r="H33" s="18">
        <v>7000</v>
      </c>
      <c r="I33" s="18">
        <v>6229.55</v>
      </c>
      <c r="J33" s="18"/>
      <c r="K33" s="18"/>
      <c r="L33" s="18">
        <f>HHJ_2022_2023!H22</f>
        <v>130</v>
      </c>
      <c r="M33" s="18">
        <f>HHJ_2022_2023!J22</f>
        <v>650</v>
      </c>
      <c r="N33" s="18">
        <f>HHJ_2022_2023!L22</f>
        <v>960</v>
      </c>
      <c r="O33" s="14"/>
      <c r="R33" s="6"/>
    </row>
    <row r="34" spans="1:18" outlineLevel="3" x14ac:dyDescent="0.2">
      <c r="A34" s="179" t="s">
        <v>63</v>
      </c>
      <c r="B34" s="130">
        <f t="shared" si="0"/>
        <v>29</v>
      </c>
      <c r="C34" s="3" t="s">
        <v>41</v>
      </c>
      <c r="D34" s="3" t="s">
        <v>64</v>
      </c>
      <c r="E34" s="18">
        <v>0</v>
      </c>
      <c r="F34" s="863"/>
      <c r="G34" s="18">
        <v>0</v>
      </c>
      <c r="H34" s="18">
        <v>0</v>
      </c>
      <c r="I34" s="18">
        <v>0</v>
      </c>
      <c r="J34" s="18"/>
      <c r="K34" s="18"/>
      <c r="L34" s="18"/>
      <c r="M34" s="18"/>
      <c r="N34" s="18"/>
      <c r="O34" s="14"/>
      <c r="P34" t="s">
        <v>1201</v>
      </c>
      <c r="Q34" s="6"/>
      <c r="R34" s="6"/>
    </row>
    <row r="35" spans="1:18" x14ac:dyDescent="0.2">
      <c r="B35" s="131">
        <f t="shared" si="0"/>
        <v>30</v>
      </c>
      <c r="F35" s="25"/>
      <c r="J35" s="14"/>
      <c r="K35" s="14"/>
      <c r="L35" s="14"/>
      <c r="M35" s="14"/>
      <c r="N35" s="14"/>
      <c r="O35" s="14"/>
      <c r="R35" s="6"/>
    </row>
    <row r="36" spans="1:18" x14ac:dyDescent="0.2">
      <c r="A36" s="137" t="s">
        <v>65</v>
      </c>
      <c r="B36" s="128">
        <f t="shared" si="0"/>
        <v>31</v>
      </c>
      <c r="C36" s="2"/>
      <c r="D36" s="2" t="s">
        <v>66</v>
      </c>
      <c r="E36" s="23">
        <f>E37+E44+E51</f>
        <v>118160</v>
      </c>
      <c r="F36" s="861">
        <v>55130.07</v>
      </c>
      <c r="G36" s="23">
        <f>G37+G44+G51</f>
        <v>146529.5</v>
      </c>
      <c r="H36" s="23">
        <f>H37+H44+H51</f>
        <v>85000</v>
      </c>
      <c r="I36" s="23">
        <f t="shared" ref="I36:L36" si="15">I37+I44+I51</f>
        <v>89402</v>
      </c>
      <c r="J36" s="23">
        <f t="shared" si="15"/>
        <v>0</v>
      </c>
      <c r="K36" s="23">
        <f t="shared" si="15"/>
        <v>0</v>
      </c>
      <c r="L36" s="23">
        <f t="shared" si="15"/>
        <v>-160</v>
      </c>
      <c r="M36" s="23">
        <f t="shared" ref="M36" si="16">M37+M44+M51</f>
        <v>330</v>
      </c>
      <c r="N36" s="23">
        <f>N37+N44+N51</f>
        <v>1285</v>
      </c>
      <c r="O36" s="14"/>
      <c r="Q36" s="6"/>
      <c r="R36" s="6"/>
    </row>
    <row r="37" spans="1:18" outlineLevel="1" x14ac:dyDescent="0.2">
      <c r="A37" s="178" t="s">
        <v>67</v>
      </c>
      <c r="B37" s="129">
        <f t="shared" si="0"/>
        <v>32</v>
      </c>
      <c r="C37" s="4"/>
      <c r="D37" s="4" t="s">
        <v>68</v>
      </c>
      <c r="E37" s="17">
        <f>SUBTOTAL(9,E38:E42)</f>
        <v>117660</v>
      </c>
      <c r="F37" s="862">
        <v>55130.07</v>
      </c>
      <c r="G37" s="17">
        <f>SUBTOTAL(9,G38:G42)</f>
        <v>145329.5</v>
      </c>
      <c r="H37" s="17">
        <f>SUBTOTAL(9,H38:H42)</f>
        <v>85000</v>
      </c>
      <c r="I37" s="17">
        <f t="shared" ref="I37:L37" si="17">SUBTOTAL(9,I38:I42)</f>
        <v>89402</v>
      </c>
      <c r="J37" s="17">
        <f t="shared" si="17"/>
        <v>0</v>
      </c>
      <c r="K37" s="17">
        <f t="shared" si="17"/>
        <v>0</v>
      </c>
      <c r="L37" s="17">
        <f t="shared" si="17"/>
        <v>-160</v>
      </c>
      <c r="M37" s="17">
        <f t="shared" ref="M37" si="18">SUBTOTAL(9,M38:M42)</f>
        <v>330</v>
      </c>
      <c r="N37" s="17">
        <f>SUBTOTAL(9,N38:N42)</f>
        <v>1285</v>
      </c>
      <c r="O37" s="14"/>
      <c r="R37" s="6"/>
    </row>
    <row r="38" spans="1:18" outlineLevel="2" x14ac:dyDescent="0.2">
      <c r="A38" s="179" t="s">
        <v>69</v>
      </c>
      <c r="B38" s="130">
        <f t="shared" si="0"/>
        <v>33</v>
      </c>
      <c r="C38" s="3" t="s">
        <v>34</v>
      </c>
      <c r="D38" s="12" t="s">
        <v>70</v>
      </c>
      <c r="E38" s="18">
        <f>WiWi!E5</f>
        <v>46150</v>
      </c>
      <c r="F38" s="864">
        <v>32265.07</v>
      </c>
      <c r="G38" s="18">
        <v>56381</v>
      </c>
      <c r="H38" s="18">
        <f>[1]WiWi!G5</f>
        <v>23000</v>
      </c>
      <c r="I38" s="18">
        <f>WiWi!J8</f>
        <v>37605</v>
      </c>
      <c r="J38" s="18"/>
      <c r="K38" s="18"/>
      <c r="L38" s="18">
        <f>HHJ_2022_2023!H12</f>
        <v>90</v>
      </c>
      <c r="M38" s="18">
        <f>HHJ_2022_2023!J12</f>
        <v>135</v>
      </c>
      <c r="N38" s="18">
        <f>HHJ_2022_2023!L12</f>
        <v>135</v>
      </c>
      <c r="O38" s="14"/>
      <c r="Q38" s="6"/>
      <c r="R38" s="6"/>
    </row>
    <row r="39" spans="1:18" outlineLevel="2" x14ac:dyDescent="0.2">
      <c r="A39" s="179" t="s">
        <v>71</v>
      </c>
      <c r="B39" s="130">
        <f t="shared" si="0"/>
        <v>34</v>
      </c>
      <c r="C39" s="3" t="s">
        <v>37</v>
      </c>
      <c r="D39" s="12" t="s">
        <v>72</v>
      </c>
      <c r="E39" s="18">
        <f>KSW!E5</f>
        <v>8510</v>
      </c>
      <c r="F39" s="864">
        <v>2075</v>
      </c>
      <c r="G39" s="18">
        <v>10576</v>
      </c>
      <c r="H39" s="18">
        <f>KSW!I5</f>
        <v>1500</v>
      </c>
      <c r="I39" s="18">
        <f>KSW!J8</f>
        <v>318</v>
      </c>
      <c r="J39" s="18"/>
      <c r="K39" s="18"/>
      <c r="L39" s="18">
        <f>HHJ_2022_2023!H13</f>
        <v>0</v>
      </c>
      <c r="M39" s="18">
        <f>HHJ_2022_2023!J13</f>
        <v>475</v>
      </c>
      <c r="N39" s="18">
        <f>HHJ_2022_2023!L13</f>
        <v>490</v>
      </c>
      <c r="O39" s="14"/>
      <c r="R39" s="6"/>
    </row>
    <row r="40" spans="1:18" outlineLevel="2" x14ac:dyDescent="0.2">
      <c r="A40" s="179" t="s">
        <v>73</v>
      </c>
      <c r="B40" s="130">
        <f t="shared" si="0"/>
        <v>35</v>
      </c>
      <c r="C40" s="3" t="s">
        <v>74</v>
      </c>
      <c r="D40" s="12" t="s">
        <v>75</v>
      </c>
      <c r="E40" s="18">
        <f>PSY!E5</f>
        <v>24000</v>
      </c>
      <c r="F40" s="864">
        <v>0</v>
      </c>
      <c r="G40" s="18">
        <v>29222</v>
      </c>
      <c r="H40" s="18">
        <f>PSY!I5</f>
        <v>24000</v>
      </c>
      <c r="I40" s="18">
        <f>PSY!J8</f>
        <v>23964</v>
      </c>
      <c r="J40" s="18"/>
      <c r="K40" s="18"/>
      <c r="L40" s="18">
        <f>HHJ_2022_2023!H17</f>
        <v>0</v>
      </c>
      <c r="M40" s="18">
        <f>HHJ_2022_2023!J17</f>
        <v>0</v>
      </c>
      <c r="N40" s="18">
        <f>HHJ_2022_2023!L17</f>
        <v>0</v>
      </c>
      <c r="O40" s="14"/>
      <c r="Q40" s="6"/>
      <c r="R40" s="6"/>
    </row>
    <row r="41" spans="1:18" outlineLevel="2" x14ac:dyDescent="0.2">
      <c r="A41" s="179" t="s">
        <v>76</v>
      </c>
      <c r="B41" s="130">
        <f t="shared" si="0"/>
        <v>36</v>
      </c>
      <c r="C41" s="3" t="s">
        <v>77</v>
      </c>
      <c r="D41" s="12" t="s">
        <v>78</v>
      </c>
      <c r="E41" s="18">
        <f>ReWi!E5</f>
        <v>23500</v>
      </c>
      <c r="F41" s="864">
        <v>14080</v>
      </c>
      <c r="G41" s="18">
        <v>29578</v>
      </c>
      <c r="H41" s="18">
        <f>ReWi!I5</f>
        <v>32000</v>
      </c>
      <c r="I41" s="18">
        <f>ReWi!J8</f>
        <v>24965</v>
      </c>
      <c r="J41" s="18"/>
      <c r="K41" s="18"/>
      <c r="L41" s="18">
        <f>HHJ_2022_2023!H15</f>
        <v>-340</v>
      </c>
      <c r="M41" s="18">
        <f>HHJ_2022_2023!J15</f>
        <v>-340</v>
      </c>
      <c r="N41" s="18">
        <f>HHJ_2022_2023!L15</f>
        <v>-340</v>
      </c>
      <c r="O41" s="14"/>
      <c r="R41" s="6"/>
    </row>
    <row r="42" spans="1:18" outlineLevel="2" x14ac:dyDescent="0.2">
      <c r="A42" s="179" t="s">
        <v>79</v>
      </c>
      <c r="B42" s="130">
        <f t="shared" si="0"/>
        <v>37</v>
      </c>
      <c r="C42" s="3" t="s">
        <v>40</v>
      </c>
      <c r="D42" s="12" t="s">
        <v>80</v>
      </c>
      <c r="E42" s="18">
        <f>M_I!E5</f>
        <v>15500</v>
      </c>
      <c r="F42" s="864">
        <v>6710</v>
      </c>
      <c r="G42" s="18">
        <v>19572.5</v>
      </c>
      <c r="H42" s="18">
        <f>M_I!I5</f>
        <v>4500</v>
      </c>
      <c r="I42" s="18">
        <f>M_I!J8</f>
        <v>2550</v>
      </c>
      <c r="J42" s="18"/>
      <c r="K42" s="18"/>
      <c r="L42" s="18">
        <f>HHJ_2022_2023!H14</f>
        <v>90</v>
      </c>
      <c r="M42" s="18">
        <f>HHJ_2022_2023!J14</f>
        <v>60</v>
      </c>
      <c r="N42" s="18">
        <f>HHJ_2022_2023!L14</f>
        <v>1000</v>
      </c>
      <c r="O42" s="14"/>
      <c r="Q42" s="6"/>
      <c r="R42" s="6"/>
    </row>
    <row r="43" spans="1:18" outlineLevel="1" x14ac:dyDescent="0.2">
      <c r="B43" s="131">
        <f t="shared" si="0"/>
        <v>38</v>
      </c>
      <c r="F43" s="25"/>
      <c r="J43" s="14"/>
      <c r="K43" s="14"/>
      <c r="L43" s="14"/>
      <c r="M43" s="14"/>
      <c r="N43" s="14"/>
      <c r="O43" s="14"/>
      <c r="R43" s="6"/>
    </row>
    <row r="44" spans="1:18" outlineLevel="1" x14ac:dyDescent="0.2">
      <c r="A44" s="178" t="s">
        <v>81</v>
      </c>
      <c r="B44" s="129">
        <f t="shared" si="0"/>
        <v>39</v>
      </c>
      <c r="C44" s="4"/>
      <c r="D44" s="4" t="s">
        <v>82</v>
      </c>
      <c r="E44" s="17">
        <f>SUBTOTAL(9,E45:E49)</f>
        <v>500</v>
      </c>
      <c r="F44" s="862">
        <v>0</v>
      </c>
      <c r="G44" s="17">
        <f>SUBTOTAL(9,G45:G49)</f>
        <v>1200</v>
      </c>
      <c r="H44" s="17">
        <f>SUBTOTAL(9,H45:H49)</f>
        <v>0</v>
      </c>
      <c r="I44" s="17">
        <f t="shared" ref="I44:L44" si="19">SUBTOTAL(9,I45:I49)</f>
        <v>0</v>
      </c>
      <c r="J44" s="17">
        <f t="shared" si="19"/>
        <v>0</v>
      </c>
      <c r="K44" s="17">
        <f t="shared" si="19"/>
        <v>0</v>
      </c>
      <c r="L44" s="17">
        <f t="shared" si="19"/>
        <v>0</v>
      </c>
      <c r="M44" s="17">
        <f t="shared" ref="M44" si="20">SUBTOTAL(9,M45:M49)</f>
        <v>0</v>
      </c>
      <c r="N44" s="17">
        <f>SUBTOTAL(9,N45:N49)</f>
        <v>0</v>
      </c>
      <c r="O44" s="14"/>
      <c r="Q44" s="6"/>
      <c r="R44" s="6"/>
    </row>
    <row r="45" spans="1:18" outlineLevel="2" x14ac:dyDescent="0.2">
      <c r="A45" s="179" t="s">
        <v>83</v>
      </c>
      <c r="B45" s="130">
        <f t="shared" si="0"/>
        <v>40</v>
      </c>
      <c r="C45" s="3" t="s">
        <v>41</v>
      </c>
      <c r="D45" s="12" t="s">
        <v>70</v>
      </c>
      <c r="E45" s="18">
        <f>WiWi!E6</f>
        <v>0</v>
      </c>
      <c r="F45" s="864">
        <v>0</v>
      </c>
      <c r="G45" s="18">
        <v>0</v>
      </c>
      <c r="H45" s="18">
        <f>[1]WiWi!G6</f>
        <v>0</v>
      </c>
      <c r="I45" s="18">
        <v>0</v>
      </c>
      <c r="J45" s="18"/>
      <c r="K45" s="18"/>
      <c r="L45" s="18"/>
      <c r="M45" s="18"/>
      <c r="N45" s="18"/>
      <c r="O45" s="14"/>
      <c r="R45" s="6"/>
    </row>
    <row r="46" spans="1:18" outlineLevel="2" x14ac:dyDescent="0.2">
      <c r="A46" s="179" t="s">
        <v>84</v>
      </c>
      <c r="B46" s="130">
        <f t="shared" si="0"/>
        <v>41</v>
      </c>
      <c r="C46" s="3" t="s">
        <v>41</v>
      </c>
      <c r="D46" s="12" t="s">
        <v>72</v>
      </c>
      <c r="E46" s="18">
        <f>KSW!E6</f>
        <v>500</v>
      </c>
      <c r="F46" s="864">
        <v>0</v>
      </c>
      <c r="G46" s="18">
        <v>1200</v>
      </c>
      <c r="H46" s="18">
        <f>KSW!I6</f>
        <v>0</v>
      </c>
      <c r="I46" s="18">
        <v>0</v>
      </c>
      <c r="J46" s="18"/>
      <c r="K46" s="18"/>
      <c r="L46" s="18"/>
      <c r="M46" s="18"/>
      <c r="N46" s="18"/>
      <c r="O46" s="14"/>
      <c r="Q46" s="6"/>
      <c r="R46" s="6"/>
    </row>
    <row r="47" spans="1:18" outlineLevel="2" x14ac:dyDescent="0.2">
      <c r="A47" s="179" t="s">
        <v>85</v>
      </c>
      <c r="B47" s="130">
        <f t="shared" si="0"/>
        <v>42</v>
      </c>
      <c r="C47" s="3" t="s">
        <v>41</v>
      </c>
      <c r="D47" s="12" t="s">
        <v>75</v>
      </c>
      <c r="E47" s="18">
        <f>PSY!E6</f>
        <v>0</v>
      </c>
      <c r="F47" s="864">
        <v>0</v>
      </c>
      <c r="G47" s="18">
        <v>0</v>
      </c>
      <c r="H47" s="18">
        <f>PSY!I6</f>
        <v>0</v>
      </c>
      <c r="I47" s="18">
        <v>0</v>
      </c>
      <c r="J47" s="18"/>
      <c r="K47" s="18"/>
      <c r="L47" s="18"/>
      <c r="M47" s="18"/>
      <c r="N47" s="18"/>
      <c r="O47" s="14"/>
      <c r="R47" s="6"/>
    </row>
    <row r="48" spans="1:18" outlineLevel="2" x14ac:dyDescent="0.2">
      <c r="A48" s="179" t="s">
        <v>86</v>
      </c>
      <c r="B48" s="130">
        <f t="shared" si="0"/>
        <v>43</v>
      </c>
      <c r="C48" s="3" t="s">
        <v>41</v>
      </c>
      <c r="D48" s="12" t="s">
        <v>78</v>
      </c>
      <c r="E48" s="18">
        <f>ReWi!E6</f>
        <v>0</v>
      </c>
      <c r="F48" s="864">
        <v>0</v>
      </c>
      <c r="G48" s="18">
        <v>0</v>
      </c>
      <c r="H48" s="18">
        <f>ReWi!I6</f>
        <v>0</v>
      </c>
      <c r="I48" s="18">
        <v>0</v>
      </c>
      <c r="J48" s="18"/>
      <c r="K48" s="18"/>
      <c r="L48" s="18"/>
      <c r="M48" s="18"/>
      <c r="N48" s="18"/>
      <c r="O48" s="14"/>
      <c r="Q48" s="6"/>
      <c r="R48" s="6"/>
    </row>
    <row r="49" spans="1:18" outlineLevel="2" x14ac:dyDescent="0.2">
      <c r="A49" s="179" t="s">
        <v>87</v>
      </c>
      <c r="B49" s="130">
        <f t="shared" si="0"/>
        <v>44</v>
      </c>
      <c r="C49" s="3" t="s">
        <v>41</v>
      </c>
      <c r="D49" s="12" t="s">
        <v>80</v>
      </c>
      <c r="E49" s="18">
        <f>M_I!E6</f>
        <v>0</v>
      </c>
      <c r="F49" s="864">
        <v>0</v>
      </c>
      <c r="G49" s="18">
        <v>0</v>
      </c>
      <c r="H49" s="18">
        <f>M_I!I6</f>
        <v>0</v>
      </c>
      <c r="I49" s="18">
        <v>0</v>
      </c>
      <c r="J49" s="18"/>
      <c r="K49" s="18"/>
      <c r="L49" s="18"/>
      <c r="M49" s="18"/>
      <c r="N49" s="18"/>
      <c r="O49" s="14"/>
      <c r="R49" s="6"/>
    </row>
    <row r="50" spans="1:18" outlineLevel="1" x14ac:dyDescent="0.2">
      <c r="B50" s="131">
        <f t="shared" si="0"/>
        <v>45</v>
      </c>
      <c r="F50" s="25"/>
      <c r="J50" s="14"/>
      <c r="K50" s="14"/>
      <c r="L50" s="14"/>
      <c r="M50" s="14"/>
      <c r="N50" s="14"/>
      <c r="O50" s="14"/>
      <c r="Q50" s="6"/>
      <c r="R50" s="6"/>
    </row>
    <row r="51" spans="1:18" outlineLevel="1" x14ac:dyDescent="0.2">
      <c r="A51" s="178" t="s">
        <v>88</v>
      </c>
      <c r="B51" s="129">
        <f t="shared" si="0"/>
        <v>46</v>
      </c>
      <c r="C51" s="4"/>
      <c r="D51" s="4" t="s">
        <v>89</v>
      </c>
      <c r="E51" s="17">
        <f>SUBTOTAL(9,E52:E56)</f>
        <v>0</v>
      </c>
      <c r="F51" s="862">
        <v>0</v>
      </c>
      <c r="G51" s="17">
        <f>SUBTOTAL(9,G52:G56)</f>
        <v>0</v>
      </c>
      <c r="H51" s="17">
        <f>SUBTOTAL(9,H52:H56)</f>
        <v>0</v>
      </c>
      <c r="I51" s="17">
        <f t="shared" ref="I51:L51" si="21">SUBTOTAL(9,I52:I56)</f>
        <v>0</v>
      </c>
      <c r="J51" s="17">
        <f t="shared" si="21"/>
        <v>0</v>
      </c>
      <c r="K51" s="17">
        <f t="shared" si="21"/>
        <v>0</v>
      </c>
      <c r="L51" s="17">
        <f t="shared" si="21"/>
        <v>0</v>
      </c>
      <c r="M51" s="17">
        <f t="shared" ref="M51" si="22">SUBTOTAL(9,M52:M56)</f>
        <v>0</v>
      </c>
      <c r="N51" s="17">
        <f>SUBTOTAL(9,N52:N56)</f>
        <v>0</v>
      </c>
      <c r="O51" s="14"/>
      <c r="R51" s="6"/>
    </row>
    <row r="52" spans="1:18" outlineLevel="2" x14ac:dyDescent="0.2">
      <c r="A52" s="179" t="s">
        <v>90</v>
      </c>
      <c r="B52" s="130">
        <f t="shared" si="0"/>
        <v>47</v>
      </c>
      <c r="C52" s="3" t="s">
        <v>41</v>
      </c>
      <c r="D52" s="12" t="s">
        <v>70</v>
      </c>
      <c r="E52" s="18">
        <f>WiWi!E7</f>
        <v>0</v>
      </c>
      <c r="F52" s="864">
        <v>0</v>
      </c>
      <c r="G52" s="18">
        <v>0</v>
      </c>
      <c r="H52" s="18">
        <f>[1]WiWi!G7</f>
        <v>0</v>
      </c>
      <c r="I52" s="18">
        <v>0</v>
      </c>
      <c r="J52" s="18"/>
      <c r="K52" s="18"/>
      <c r="L52" s="18"/>
      <c r="M52" s="18"/>
      <c r="N52" s="18"/>
      <c r="O52" s="14"/>
      <c r="Q52" s="6"/>
      <c r="R52" s="6"/>
    </row>
    <row r="53" spans="1:18" outlineLevel="2" x14ac:dyDescent="0.2">
      <c r="A53" s="179" t="s">
        <v>91</v>
      </c>
      <c r="B53" s="130">
        <f t="shared" si="0"/>
        <v>48</v>
      </c>
      <c r="C53" s="3" t="s">
        <v>41</v>
      </c>
      <c r="D53" s="12" t="s">
        <v>72</v>
      </c>
      <c r="E53" s="18">
        <f>KSW!E7</f>
        <v>0</v>
      </c>
      <c r="F53" s="864">
        <v>0</v>
      </c>
      <c r="G53" s="18">
        <v>0</v>
      </c>
      <c r="H53" s="18">
        <f>KSW!I7</f>
        <v>0</v>
      </c>
      <c r="I53" s="18">
        <v>0</v>
      </c>
      <c r="J53" s="18"/>
      <c r="K53" s="18"/>
      <c r="L53" s="18"/>
      <c r="M53" s="18"/>
      <c r="N53" s="18"/>
      <c r="O53" s="14"/>
      <c r="R53" s="6"/>
    </row>
    <row r="54" spans="1:18" outlineLevel="2" x14ac:dyDescent="0.2">
      <c r="A54" s="179" t="s">
        <v>92</v>
      </c>
      <c r="B54" s="130">
        <f t="shared" si="0"/>
        <v>49</v>
      </c>
      <c r="C54" s="3" t="s">
        <v>41</v>
      </c>
      <c r="D54" s="12" t="s">
        <v>75</v>
      </c>
      <c r="E54" s="18">
        <f>PSY!E7</f>
        <v>0</v>
      </c>
      <c r="F54" s="864">
        <v>0</v>
      </c>
      <c r="G54" s="18">
        <v>0</v>
      </c>
      <c r="H54" s="18">
        <f>PSY!I7</f>
        <v>0</v>
      </c>
      <c r="I54" s="18">
        <v>0</v>
      </c>
      <c r="J54" s="18"/>
      <c r="K54" s="18"/>
      <c r="L54" s="18"/>
      <c r="M54" s="18"/>
      <c r="N54" s="18"/>
      <c r="O54" s="14"/>
      <c r="Q54" s="6"/>
      <c r="R54" s="6"/>
    </row>
    <row r="55" spans="1:18" outlineLevel="2" x14ac:dyDescent="0.2">
      <c r="A55" s="179" t="s">
        <v>93</v>
      </c>
      <c r="B55" s="130">
        <f t="shared" si="0"/>
        <v>50</v>
      </c>
      <c r="C55" s="3" t="s">
        <v>41</v>
      </c>
      <c r="D55" s="12" t="s">
        <v>78</v>
      </c>
      <c r="E55" s="18">
        <f>ReWi!E7</f>
        <v>0</v>
      </c>
      <c r="F55" s="864">
        <v>0</v>
      </c>
      <c r="G55" s="18">
        <v>0</v>
      </c>
      <c r="H55" s="18">
        <f>ReWi!I7</f>
        <v>0</v>
      </c>
      <c r="I55" s="18">
        <v>0</v>
      </c>
      <c r="J55" s="18"/>
      <c r="K55" s="18"/>
      <c r="L55" s="18"/>
      <c r="M55" s="18"/>
      <c r="N55" s="18"/>
      <c r="O55" s="14"/>
      <c r="R55" s="6"/>
    </row>
    <row r="56" spans="1:18" outlineLevel="2" x14ac:dyDescent="0.2">
      <c r="A56" s="179" t="s">
        <v>94</v>
      </c>
      <c r="B56" s="130">
        <f t="shared" si="0"/>
        <v>51</v>
      </c>
      <c r="C56" s="3" t="s">
        <v>41</v>
      </c>
      <c r="D56" s="12" t="s">
        <v>80</v>
      </c>
      <c r="E56" s="18">
        <f>M_I!E7</f>
        <v>0</v>
      </c>
      <c r="F56" s="864">
        <v>0</v>
      </c>
      <c r="G56" s="18">
        <v>0</v>
      </c>
      <c r="H56" s="18">
        <f>M_I!I7</f>
        <v>0</v>
      </c>
      <c r="I56" s="18">
        <v>0</v>
      </c>
      <c r="J56" s="18"/>
      <c r="K56" s="18"/>
      <c r="L56" s="18"/>
      <c r="M56" s="18"/>
      <c r="N56" s="18"/>
      <c r="O56" s="14"/>
      <c r="Q56" s="6"/>
      <c r="R56" s="6"/>
    </row>
    <row r="57" spans="1:18" outlineLevel="1" x14ac:dyDescent="0.2">
      <c r="B57" s="131">
        <f t="shared" si="0"/>
        <v>52</v>
      </c>
      <c r="F57" s="25"/>
      <c r="J57" s="14"/>
      <c r="K57" s="14"/>
      <c r="L57" s="14"/>
      <c r="M57" s="14"/>
      <c r="N57" s="14"/>
      <c r="O57" s="14"/>
      <c r="R57" s="6"/>
    </row>
    <row r="58" spans="1:18" outlineLevel="1" x14ac:dyDescent="0.2">
      <c r="B58" s="131">
        <f>ROW(B53)</f>
        <v>53</v>
      </c>
      <c r="F58" s="25"/>
      <c r="J58" s="14"/>
      <c r="K58" s="14"/>
      <c r="L58" s="14"/>
      <c r="M58" s="14"/>
      <c r="N58" s="14"/>
      <c r="O58" s="14"/>
      <c r="Q58" s="6"/>
      <c r="R58" s="6"/>
    </row>
    <row r="59" spans="1:18" x14ac:dyDescent="0.2">
      <c r="B59" s="131">
        <f>ROW(B54)</f>
        <v>54</v>
      </c>
      <c r="F59" s="25"/>
      <c r="J59" s="14"/>
      <c r="K59" s="14"/>
      <c r="L59" s="14"/>
      <c r="M59" s="14"/>
      <c r="N59" s="14"/>
      <c r="O59" s="14"/>
      <c r="R59" s="6"/>
    </row>
    <row r="60" spans="1:18" x14ac:dyDescent="0.2">
      <c r="A60" s="137" t="s">
        <v>95</v>
      </c>
      <c r="B60" s="128">
        <f>ROW(B54)</f>
        <v>54</v>
      </c>
      <c r="C60" s="2"/>
      <c r="D60" s="2" t="s">
        <v>96</v>
      </c>
      <c r="E60" s="23">
        <f>E61+E66</f>
        <v>660000</v>
      </c>
      <c r="F60" s="861">
        <v>285497.78000000003</v>
      </c>
      <c r="G60" s="23">
        <f>G61+G66</f>
        <v>345497.78</v>
      </c>
      <c r="H60" s="23">
        <f>H61+H66</f>
        <v>795000</v>
      </c>
      <c r="I60" s="23">
        <f t="shared" ref="I60:L60" si="23">I61+I66</f>
        <v>820360.34</v>
      </c>
      <c r="J60" s="23">
        <f t="shared" si="23"/>
        <v>0</v>
      </c>
      <c r="K60" s="23">
        <f t="shared" si="23"/>
        <v>0</v>
      </c>
      <c r="L60" s="23">
        <f t="shared" si="23"/>
        <v>285497.78000000003</v>
      </c>
      <c r="M60" s="23">
        <f t="shared" ref="M60" si="24">M61+M66</f>
        <v>285497.78000000003</v>
      </c>
      <c r="N60" s="23">
        <f>N61+N66</f>
        <v>285497.78000000003</v>
      </c>
      <c r="O60" s="14"/>
      <c r="Q60" s="6"/>
      <c r="R60" s="6"/>
    </row>
    <row r="61" spans="1:18" outlineLevel="1" x14ac:dyDescent="0.2">
      <c r="A61" s="178" t="s">
        <v>97</v>
      </c>
      <c r="B61" s="129">
        <f>ROW(B55)</f>
        <v>55</v>
      </c>
      <c r="C61" s="4"/>
      <c r="D61" s="4" t="s">
        <v>98</v>
      </c>
      <c r="E61" s="17">
        <f>SUBTOTAL(9,E62:E64)</f>
        <v>0</v>
      </c>
      <c r="F61" s="862">
        <v>0</v>
      </c>
      <c r="G61" s="17">
        <f>SUBTOTAL(9,G62:G64)</f>
        <v>60000</v>
      </c>
      <c r="H61" s="17">
        <f>SUBTOTAL(9,H62:H64)</f>
        <v>195000</v>
      </c>
      <c r="I61" s="17">
        <f t="shared" ref="I61:L61" si="25">SUBTOTAL(9,I62:I64)</f>
        <v>195000</v>
      </c>
      <c r="J61" s="17">
        <f t="shared" si="25"/>
        <v>0</v>
      </c>
      <c r="K61" s="17">
        <f t="shared" si="25"/>
        <v>0</v>
      </c>
      <c r="L61" s="17">
        <f t="shared" si="25"/>
        <v>0</v>
      </c>
      <c r="M61" s="17">
        <f t="shared" ref="M61" si="26">SUBTOTAL(9,M62:M64)</f>
        <v>0</v>
      </c>
      <c r="N61" s="17">
        <f>SUBTOTAL(9,N62:N64)</f>
        <v>0</v>
      </c>
      <c r="O61" s="14"/>
      <c r="R61" s="6"/>
    </row>
    <row r="62" spans="1:18" outlineLevel="2" x14ac:dyDescent="0.2">
      <c r="A62" s="179" t="s">
        <v>99</v>
      </c>
      <c r="B62" s="130">
        <f>ROW(B56)</f>
        <v>56</v>
      </c>
      <c r="C62" s="3" t="s">
        <v>97</v>
      </c>
      <c r="D62" s="3" t="s">
        <v>100</v>
      </c>
      <c r="E62" s="18">
        <v>0</v>
      </c>
      <c r="F62" s="863">
        <v>0</v>
      </c>
      <c r="G62" s="18">
        <v>0</v>
      </c>
      <c r="H62" s="18">
        <v>0</v>
      </c>
      <c r="I62" s="18">
        <v>0</v>
      </c>
      <c r="J62" s="18"/>
      <c r="K62" s="18"/>
      <c r="L62" s="18">
        <f>HHJ_2022_2023!J25</f>
        <v>0</v>
      </c>
      <c r="M62" s="18">
        <f>HHJ_2022_2023!K25</f>
        <v>0</v>
      </c>
      <c r="N62" s="18">
        <f>HHJ_2022_2023!M25</f>
        <v>0</v>
      </c>
      <c r="O62" s="14"/>
      <c r="Q62" s="6"/>
      <c r="R62" s="6"/>
    </row>
    <row r="63" spans="1:18" outlineLevel="2" x14ac:dyDescent="0.2">
      <c r="A63" s="179" t="s">
        <v>101</v>
      </c>
      <c r="B63" s="130">
        <f>ROW(B57)</f>
        <v>57</v>
      </c>
      <c r="C63" s="3" t="s">
        <v>102</v>
      </c>
      <c r="D63" s="3" t="s">
        <v>103</v>
      </c>
      <c r="E63" s="18">
        <v>0</v>
      </c>
      <c r="F63" s="863">
        <v>0</v>
      </c>
      <c r="G63" s="18">
        <v>0</v>
      </c>
      <c r="H63" s="18">
        <v>195000</v>
      </c>
      <c r="I63" s="18">
        <v>195000</v>
      </c>
      <c r="J63" s="18"/>
      <c r="K63" s="18"/>
      <c r="L63" s="18">
        <f>HHJ_2022_2023!J26</f>
        <v>0</v>
      </c>
      <c r="M63" s="18">
        <f>HHJ_2022_2023!J26</f>
        <v>0</v>
      </c>
      <c r="N63" s="18">
        <f>HHJ_2022_2023!L26</f>
        <v>0</v>
      </c>
      <c r="O63" s="14"/>
      <c r="R63" s="6"/>
    </row>
    <row r="64" spans="1:18" outlineLevel="2" x14ac:dyDescent="0.2">
      <c r="A64" s="179" t="s">
        <v>104</v>
      </c>
      <c r="B64" s="130">
        <f>ROW(B58)</f>
        <v>58</v>
      </c>
      <c r="C64" s="3" t="s">
        <v>41</v>
      </c>
      <c r="D64" s="3" t="s">
        <v>105</v>
      </c>
      <c r="E64" s="18">
        <v>0</v>
      </c>
      <c r="F64" s="863">
        <v>0</v>
      </c>
      <c r="G64" s="18">
        <v>60000</v>
      </c>
      <c r="H64" s="18">
        <v>0</v>
      </c>
      <c r="I64" s="18">
        <v>0</v>
      </c>
      <c r="J64" s="18"/>
      <c r="K64" s="18"/>
      <c r="L64" s="18"/>
      <c r="M64" s="18"/>
      <c r="N64" s="18"/>
      <c r="O64" s="14"/>
      <c r="Q64" s="6"/>
      <c r="R64" s="6"/>
    </row>
    <row r="65" spans="1:18" outlineLevel="1" x14ac:dyDescent="0.2">
      <c r="B65" s="131">
        <f t="shared" si="0"/>
        <v>60</v>
      </c>
      <c r="F65" s="25"/>
      <c r="J65" s="14"/>
      <c r="K65" s="14"/>
      <c r="L65" s="14"/>
      <c r="M65" s="14"/>
      <c r="N65" s="14"/>
      <c r="O65" s="14"/>
      <c r="R65" s="6"/>
    </row>
    <row r="66" spans="1:18" outlineLevel="1" x14ac:dyDescent="0.2">
      <c r="A66" s="178" t="s">
        <v>106</v>
      </c>
      <c r="B66" s="129">
        <f t="shared" ref="B66:B127" si="27">ROW(B61)</f>
        <v>61</v>
      </c>
      <c r="C66" s="4"/>
      <c r="D66" s="4" t="s">
        <v>107</v>
      </c>
      <c r="E66" s="17">
        <f>SUBTOTAL(9,E67:E69)</f>
        <v>660000</v>
      </c>
      <c r="F66" s="862">
        <v>285497.78000000003</v>
      </c>
      <c r="G66" s="17">
        <f>SUBTOTAL(9,G67:G69)</f>
        <v>285497.78000000003</v>
      </c>
      <c r="H66" s="17">
        <f>SUBTOTAL(9,H67:H69)</f>
        <v>600000</v>
      </c>
      <c r="I66" s="17">
        <f t="shared" ref="I66:L66" si="28">SUBTOTAL(9,I67:I69)</f>
        <v>625360.34</v>
      </c>
      <c r="J66" s="17">
        <f t="shared" si="28"/>
        <v>0</v>
      </c>
      <c r="K66" s="17">
        <f t="shared" si="28"/>
        <v>0</v>
      </c>
      <c r="L66" s="17">
        <f t="shared" si="28"/>
        <v>285497.78000000003</v>
      </c>
      <c r="M66" s="17">
        <f t="shared" ref="M66" si="29">SUBTOTAL(9,M67:M69)</f>
        <v>285497.78000000003</v>
      </c>
      <c r="N66" s="17">
        <f>SUBTOTAL(9,N67:N69)</f>
        <v>285497.78000000003</v>
      </c>
      <c r="O66" s="14"/>
      <c r="Q66" s="6"/>
      <c r="R66" s="6"/>
    </row>
    <row r="67" spans="1:18" outlineLevel="2" x14ac:dyDescent="0.2">
      <c r="A67" s="179" t="s">
        <v>108</v>
      </c>
      <c r="B67" s="130">
        <f t="shared" si="27"/>
        <v>62</v>
      </c>
      <c r="C67" s="3" t="s">
        <v>106</v>
      </c>
      <c r="D67" s="3" t="s">
        <v>109</v>
      </c>
      <c r="E67" s="18">
        <v>660000</v>
      </c>
      <c r="F67" s="863">
        <v>285497.78000000003</v>
      </c>
      <c r="G67" s="18">
        <v>285497.78000000003</v>
      </c>
      <c r="H67" s="18">
        <v>600000</v>
      </c>
      <c r="I67" s="18">
        <v>625360.34</v>
      </c>
      <c r="J67" s="18"/>
      <c r="K67" s="18"/>
      <c r="L67" s="18">
        <f>HHJ_2022_2023!H27</f>
        <v>285497.78000000003</v>
      </c>
      <c r="M67" s="18">
        <f>HHJ_2022_2023!J27</f>
        <v>285497.78000000003</v>
      </c>
      <c r="N67" s="18">
        <f>HHJ_2022_2023!L27</f>
        <v>285497.78000000003</v>
      </c>
      <c r="O67" s="14"/>
      <c r="R67" s="6"/>
    </row>
    <row r="68" spans="1:18" outlineLevel="2" x14ac:dyDescent="0.2">
      <c r="A68" s="179" t="s">
        <v>110</v>
      </c>
      <c r="B68" s="130">
        <f t="shared" si="27"/>
        <v>63</v>
      </c>
      <c r="C68" s="3" t="s">
        <v>41</v>
      </c>
      <c r="D68" s="3" t="s">
        <v>111</v>
      </c>
      <c r="E68" s="18">
        <v>0</v>
      </c>
      <c r="F68" s="863"/>
      <c r="G68" s="18">
        <v>0</v>
      </c>
      <c r="H68" s="18">
        <v>0</v>
      </c>
      <c r="I68" s="18"/>
      <c r="J68" s="18"/>
      <c r="K68" s="18"/>
      <c r="L68" s="18"/>
      <c r="M68" s="18"/>
      <c r="N68" s="18"/>
      <c r="O68" s="14"/>
      <c r="Q68" s="6"/>
      <c r="R68" s="6"/>
    </row>
    <row r="69" spans="1:18" outlineLevel="1" x14ac:dyDescent="0.2">
      <c r="B69" s="131">
        <f t="shared" si="27"/>
        <v>64</v>
      </c>
      <c r="F69" s="25"/>
      <c r="J69" s="14"/>
      <c r="K69" s="14"/>
      <c r="L69" s="14"/>
      <c r="M69" s="14"/>
      <c r="N69" s="14"/>
      <c r="O69" s="14"/>
      <c r="R69" s="6"/>
    </row>
    <row r="70" spans="1:18" outlineLevel="1" x14ac:dyDescent="0.2">
      <c r="A70" s="178" t="s">
        <v>112</v>
      </c>
      <c r="B70" s="129">
        <f t="shared" si="27"/>
        <v>65</v>
      </c>
      <c r="C70" s="4"/>
      <c r="D70" s="4" t="s">
        <v>113</v>
      </c>
      <c r="E70" s="17">
        <f>SUBTOTAL(9,E71:E72)</f>
        <v>0</v>
      </c>
      <c r="F70" s="862">
        <v>0</v>
      </c>
      <c r="G70" s="17">
        <f>SUBTOTAL(9,G71:G72)</f>
        <v>0</v>
      </c>
      <c r="H70" s="17">
        <f>SUBTOTAL(9,H71:H72)</f>
        <v>0</v>
      </c>
      <c r="I70" s="17">
        <f t="shared" ref="I70:L70" si="30">SUBTOTAL(9,I71:I72)</f>
        <v>0</v>
      </c>
      <c r="J70" s="17">
        <f t="shared" si="30"/>
        <v>0</v>
      </c>
      <c r="K70" s="17">
        <f t="shared" si="30"/>
        <v>0</v>
      </c>
      <c r="L70" s="17">
        <f t="shared" si="30"/>
        <v>0</v>
      </c>
      <c r="M70" s="17">
        <f t="shared" ref="M70" si="31">SUBTOTAL(9,M71:M72)</f>
        <v>0</v>
      </c>
      <c r="N70" s="17">
        <f>SUBTOTAL(9,N71:N72)</f>
        <v>0</v>
      </c>
      <c r="O70" s="14"/>
      <c r="Q70" s="6"/>
      <c r="R70" s="6"/>
    </row>
    <row r="71" spans="1:18" outlineLevel="1" x14ac:dyDescent="0.2">
      <c r="A71" s="179" t="s">
        <v>114</v>
      </c>
      <c r="B71" s="130">
        <f t="shared" si="27"/>
        <v>66</v>
      </c>
      <c r="C71" s="3" t="s">
        <v>41</v>
      </c>
      <c r="D71" s="3" t="s">
        <v>115</v>
      </c>
      <c r="E71" s="18">
        <v>0</v>
      </c>
      <c r="F71" s="18">
        <v>0</v>
      </c>
      <c r="G71" s="18">
        <v>0</v>
      </c>
      <c r="H71" s="18">
        <v>0</v>
      </c>
      <c r="I71" s="18">
        <v>0</v>
      </c>
      <c r="J71" s="18">
        <v>0</v>
      </c>
      <c r="K71" s="18">
        <v>0</v>
      </c>
      <c r="L71" s="18"/>
      <c r="M71" s="18"/>
      <c r="N71" s="18"/>
      <c r="O71" s="14"/>
      <c r="R71" s="6"/>
    </row>
    <row r="72" spans="1:18" outlineLevel="1" x14ac:dyDescent="0.2">
      <c r="A72" s="179" t="s">
        <v>116</v>
      </c>
      <c r="B72" s="130">
        <f t="shared" si="27"/>
        <v>67</v>
      </c>
      <c r="C72" s="3" t="s">
        <v>43</v>
      </c>
      <c r="D72" s="3" t="s">
        <v>117</v>
      </c>
      <c r="E72" s="18">
        <v>0</v>
      </c>
      <c r="F72" s="18">
        <v>0</v>
      </c>
      <c r="G72" s="18">
        <v>0</v>
      </c>
      <c r="H72" s="18">
        <v>0</v>
      </c>
      <c r="I72" s="18">
        <v>0</v>
      </c>
      <c r="J72" s="18">
        <v>0</v>
      </c>
      <c r="K72" s="18">
        <v>0</v>
      </c>
      <c r="L72" s="18"/>
      <c r="M72" s="18"/>
      <c r="N72" s="18"/>
      <c r="O72" s="14"/>
      <c r="Q72" s="6"/>
      <c r="R72" s="6"/>
    </row>
    <row r="73" spans="1:18" x14ac:dyDescent="0.2">
      <c r="B73" s="131">
        <f t="shared" si="27"/>
        <v>68</v>
      </c>
      <c r="F73" s="25"/>
      <c r="J73" s="14"/>
      <c r="K73" s="14"/>
      <c r="L73" s="14"/>
      <c r="M73" s="14"/>
      <c r="N73" s="14"/>
      <c r="O73" s="14"/>
      <c r="R73" s="6"/>
    </row>
    <row r="74" spans="1:18" x14ac:dyDescent="0.2">
      <c r="B74" s="131">
        <f>ROW(B70)</f>
        <v>70</v>
      </c>
      <c r="D74" s="137" t="s">
        <v>118</v>
      </c>
      <c r="E74" s="23">
        <f>E6+E36+E60</f>
        <v>1552386.25</v>
      </c>
      <c r="F74" s="861">
        <v>1370293.8900000001</v>
      </c>
      <c r="G74" s="23">
        <f>G6+G36+G60</f>
        <v>1568977.28</v>
      </c>
      <c r="H74" s="23">
        <f>H6+H36+H60</f>
        <v>1480000</v>
      </c>
      <c r="I74" s="23">
        <f>I6+I36+I60</f>
        <v>1500919.53</v>
      </c>
      <c r="J74" s="23"/>
      <c r="K74" s="23"/>
      <c r="L74" s="23">
        <f>L6+L36+L60</f>
        <v>542448.23</v>
      </c>
      <c r="M74" s="23">
        <f>M6+M36+M60</f>
        <v>744264.9</v>
      </c>
      <c r="N74" s="23">
        <f>N6+N36+N60</f>
        <v>777607.6100000001</v>
      </c>
      <c r="O74" s="14"/>
      <c r="Q74" s="6"/>
      <c r="R74" s="6"/>
    </row>
    <row r="75" spans="1:18" x14ac:dyDescent="0.2">
      <c r="B75" s="131">
        <f>ROW(B71)</f>
        <v>71</v>
      </c>
      <c r="J75" s="14"/>
      <c r="K75" s="14"/>
      <c r="L75" s="14"/>
      <c r="M75" s="14"/>
      <c r="N75" s="14"/>
      <c r="O75" s="14"/>
      <c r="R75" s="6"/>
    </row>
    <row r="76" spans="1:18" ht="16" x14ac:dyDescent="0.2">
      <c r="A76" s="70" t="s">
        <v>119</v>
      </c>
      <c r="B76" s="127">
        <f>ROW(B72)</f>
        <v>72</v>
      </c>
      <c r="C76" s="7"/>
      <c r="J76" s="14"/>
      <c r="K76" s="14"/>
      <c r="L76" s="14"/>
      <c r="M76" s="14"/>
      <c r="N76" s="14"/>
      <c r="O76" s="14"/>
      <c r="Q76" s="6"/>
      <c r="R76" s="6"/>
    </row>
    <row r="77" spans="1:18" x14ac:dyDescent="0.2">
      <c r="B77" s="131">
        <f>ROW(B73)</f>
        <v>73</v>
      </c>
      <c r="J77" s="14"/>
      <c r="K77" s="14"/>
      <c r="L77" s="14"/>
      <c r="M77" s="14"/>
      <c r="N77" s="14"/>
      <c r="O77" s="14"/>
      <c r="R77" s="6"/>
    </row>
    <row r="78" spans="1:18" x14ac:dyDescent="0.2">
      <c r="A78" s="138" t="s">
        <v>120</v>
      </c>
      <c r="B78" s="132" t="e">
        <f>ROW(#REF!)</f>
        <v>#REF!</v>
      </c>
      <c r="C78" s="8"/>
      <c r="D78" s="8" t="s">
        <v>121</v>
      </c>
      <c r="E78" s="19" t="e">
        <f>SUBTOTAL(9,E80:E113)</f>
        <v>#REF!</v>
      </c>
      <c r="F78" s="855">
        <v>341025.21</v>
      </c>
      <c r="G78" s="19" t="e">
        <f>SUBTOTAL(9,G80:G113)</f>
        <v>#REF!</v>
      </c>
      <c r="H78" s="19" t="e">
        <f>SUBTOTAL(9,H80:H113)</f>
        <v>#REF!</v>
      </c>
      <c r="I78" s="19">
        <f>SUBTOTAL(9,I80:I113)</f>
        <v>407438.27</v>
      </c>
      <c r="J78" s="19"/>
      <c r="K78" s="19"/>
      <c r="L78" s="19">
        <f>SUBTOTAL(9,L80:L113)</f>
        <v>31078.73</v>
      </c>
      <c r="M78" s="19">
        <f>SUBTOTAL(9,M80:M113)</f>
        <v>65648.760000000009</v>
      </c>
      <c r="N78" s="19">
        <f>SUBTOTAL(9,N80:N113)</f>
        <v>90698.83</v>
      </c>
      <c r="O78" s="14"/>
      <c r="Q78" s="6"/>
      <c r="R78" s="6"/>
    </row>
    <row r="79" spans="1:18" outlineLevel="1" x14ac:dyDescent="0.2">
      <c r="A79" s="181" t="s">
        <v>122</v>
      </c>
      <c r="B79" s="133">
        <f t="shared" si="27"/>
        <v>74</v>
      </c>
      <c r="C79" s="9"/>
      <c r="D79" s="9" t="s">
        <v>123</v>
      </c>
      <c r="E79" s="20">
        <f>SUBTOTAL(9,E80:E84)</f>
        <v>77400</v>
      </c>
      <c r="F79" s="665">
        <v>35260</v>
      </c>
      <c r="G79" s="20">
        <f>SUBTOTAL(9,G80:G84)</f>
        <v>83690</v>
      </c>
      <c r="H79" s="20">
        <f>SUBTOTAL(9,H80:H84)</f>
        <v>70250</v>
      </c>
      <c r="I79" s="20">
        <f>SUBTOTAL(9,I80:I84)</f>
        <v>45805</v>
      </c>
      <c r="J79" s="20"/>
      <c r="K79" s="20"/>
      <c r="L79" s="20">
        <f>SUBTOTAL(9,L80:L84)</f>
        <v>880</v>
      </c>
      <c r="M79" s="20">
        <f>SUBTOTAL(9,M80:M84)</f>
        <v>2890</v>
      </c>
      <c r="N79" s="20">
        <f>SUBTOTAL(9,N80:N84)</f>
        <v>5270</v>
      </c>
      <c r="O79" s="14"/>
      <c r="R79" s="6"/>
    </row>
    <row r="80" spans="1:18" outlineLevel="2" x14ac:dyDescent="0.2">
      <c r="A80" s="182" t="s">
        <v>124</v>
      </c>
      <c r="B80" s="134">
        <f t="shared" si="27"/>
        <v>75</v>
      </c>
      <c r="C80" s="10" t="s">
        <v>1179</v>
      </c>
      <c r="D80" s="13" t="s">
        <v>1198</v>
      </c>
      <c r="E80" s="979">
        <v>17000</v>
      </c>
      <c r="F80" s="860">
        <v>9837</v>
      </c>
      <c r="G80" s="21">
        <f>Aufwandsentschädigungen!H4+Aufwandsentschädigungen!H5+Aufwandsentschädigungen!H6</f>
        <v>17440</v>
      </c>
      <c r="H80" s="21">
        <f>SUM(HHJ_2021_2022!U33,HHJ_2021_2022!U36)</f>
        <v>17400</v>
      </c>
      <c r="I80" s="664">
        <v>11920</v>
      </c>
      <c r="J80" s="21"/>
      <c r="K80" s="21"/>
      <c r="L80" s="21">
        <f>(HHJ_2022_2023!H33*0.4)+(HHJ_2022_2023!H36*0.6)</f>
        <v>448</v>
      </c>
      <c r="M80" s="21">
        <f>(HHJ_2022_2023!J33*0.4)+(HHJ_2022_2023!J36*0.6)</f>
        <v>1159</v>
      </c>
      <c r="N80" s="21">
        <f>(HHJ_2022_2023!L33*0.4)+(HHJ_2022_2023!L36*0.6)</f>
        <v>2079</v>
      </c>
      <c r="O80" s="14"/>
      <c r="Q80" s="6"/>
      <c r="R80" s="6"/>
    </row>
    <row r="81" spans="1:18" outlineLevel="2" x14ac:dyDescent="0.2">
      <c r="A81" s="182" t="s">
        <v>125</v>
      </c>
      <c r="B81" s="134">
        <f t="shared" si="27"/>
        <v>76</v>
      </c>
      <c r="C81" s="10" t="s">
        <v>1180</v>
      </c>
      <c r="D81" s="13" t="s">
        <v>1195</v>
      </c>
      <c r="E81" s="979">
        <v>25000</v>
      </c>
      <c r="F81" s="860">
        <v>11163</v>
      </c>
      <c r="G81" s="21">
        <f>Aufwandsentschädigungen!I14</f>
        <v>39250</v>
      </c>
      <c r="H81" s="21">
        <f>SUM(HHJ_2021_2022!V33,HHJ_2021_2022!V36)</f>
        <v>26100</v>
      </c>
      <c r="I81" s="664">
        <v>14025</v>
      </c>
      <c r="J81" s="21"/>
      <c r="K81" s="21"/>
      <c r="L81" s="21">
        <f>(HHJ_2022_2023!H33*0.6)+(HHJ_2022_2023!H36*0.4)</f>
        <v>432</v>
      </c>
      <c r="M81" s="21">
        <f>(HHJ_2022_2023!J33*0.6)+(HHJ_2022_2023!J36*0.4)</f>
        <v>1031</v>
      </c>
      <c r="N81" s="21">
        <f>(HHJ_2022_2023!L33*0.6)+(HHJ_2022_2023!L36*0.4)</f>
        <v>1991</v>
      </c>
      <c r="O81" s="14"/>
      <c r="R81" s="6"/>
    </row>
    <row r="82" spans="1:18" outlineLevel="2" x14ac:dyDescent="0.2">
      <c r="A82" s="182" t="s">
        <v>126</v>
      </c>
      <c r="B82" s="134">
        <f t="shared" si="27"/>
        <v>77</v>
      </c>
      <c r="C82" s="10" t="s">
        <v>126</v>
      </c>
      <c r="D82" s="10" t="s">
        <v>1196</v>
      </c>
      <c r="E82" s="979">
        <v>20000</v>
      </c>
      <c r="F82" s="853">
        <v>14020</v>
      </c>
      <c r="G82" s="21">
        <v>25000</v>
      </c>
      <c r="H82" s="21">
        <v>25000</v>
      </c>
      <c r="I82" s="664">
        <f>19640</f>
        <v>19640</v>
      </c>
      <c r="J82" s="21"/>
      <c r="K82" s="21"/>
      <c r="L82" s="21">
        <f>HHJ_2022_2023!H34</f>
        <v>0</v>
      </c>
      <c r="M82" s="21">
        <f>HHJ_2022_2023!J34</f>
        <v>700</v>
      </c>
      <c r="N82" s="21">
        <f>HHJ_2022_2023!L34</f>
        <v>1200</v>
      </c>
      <c r="O82" s="14"/>
      <c r="Q82" s="6"/>
      <c r="R82" s="6"/>
    </row>
    <row r="83" spans="1:18" outlineLevel="2" x14ac:dyDescent="0.2">
      <c r="A83" s="182" t="s">
        <v>127</v>
      </c>
      <c r="B83" s="134">
        <f t="shared" si="27"/>
        <v>78</v>
      </c>
      <c r="C83" s="10" t="s">
        <v>41</v>
      </c>
      <c r="D83" s="10" t="s">
        <v>128</v>
      </c>
      <c r="E83" s="979">
        <f>1200*12</f>
        <v>14400</v>
      </c>
      <c r="F83" s="853">
        <v>0</v>
      </c>
      <c r="G83" s="21">
        <v>0</v>
      </c>
      <c r="H83" s="21">
        <v>0</v>
      </c>
      <c r="I83" s="663">
        <v>0</v>
      </c>
      <c r="J83" s="21"/>
      <c r="K83" s="21"/>
      <c r="L83" s="21"/>
      <c r="M83" s="21"/>
      <c r="N83" s="21"/>
      <c r="O83" s="14"/>
      <c r="R83" s="6"/>
    </row>
    <row r="84" spans="1:18" outlineLevel="2" x14ac:dyDescent="0.2">
      <c r="A84" s="182" t="s">
        <v>129</v>
      </c>
      <c r="B84" s="134">
        <f t="shared" si="27"/>
        <v>79</v>
      </c>
      <c r="C84" s="10" t="s">
        <v>130</v>
      </c>
      <c r="D84" s="10" t="s">
        <v>1197</v>
      </c>
      <c r="E84" s="979">
        <v>1000</v>
      </c>
      <c r="F84" s="853">
        <v>240</v>
      </c>
      <c r="G84" s="21">
        <f>Aufwandsentschädigungen!H14</f>
        <v>2000</v>
      </c>
      <c r="H84" s="21">
        <f>Aufwandsentschädigungen!C14</f>
        <v>1750</v>
      </c>
      <c r="I84" s="664">
        <v>220</v>
      </c>
      <c r="J84" s="21"/>
      <c r="K84" s="21"/>
      <c r="L84" s="21">
        <f>HHJ_2022_2023!H35+HHJ_2022_2023!H37+HHJ_2022_2023!H151+HHJ_2022_2023!H159+HHJ_2022_2023!H169+HHJ_2022_2023!H183</f>
        <v>0</v>
      </c>
      <c r="M84" s="21">
        <f>HHJ_2022_2023!J35+HHJ_2022_2023!J37+HHJ_2022_2023!J151+HHJ_2022_2023!J159+HHJ_2022_2023!J169+HHJ_2022_2023!J183</f>
        <v>0</v>
      </c>
      <c r="N84" s="21">
        <f>HHJ_2022_2023!L35+HHJ_2022_2023!L37+HHJ_2022_2023!L151+HHJ_2022_2023!L159+HHJ_2022_2023!L169+HHJ_2022_2023!L183</f>
        <v>0</v>
      </c>
      <c r="O84" s="14"/>
      <c r="Q84" s="6"/>
      <c r="R84" s="6"/>
    </row>
    <row r="85" spans="1:18" outlineLevel="1" x14ac:dyDescent="0.2">
      <c r="B85" s="131">
        <f t="shared" si="27"/>
        <v>80</v>
      </c>
      <c r="F85" s="25"/>
      <c r="J85" s="14"/>
      <c r="K85" s="14"/>
      <c r="L85" s="14"/>
      <c r="M85" s="14"/>
      <c r="N85" s="14"/>
      <c r="O85" s="14"/>
      <c r="R85" s="6"/>
    </row>
    <row r="86" spans="1:18" outlineLevel="1" x14ac:dyDescent="0.2">
      <c r="A86" s="181" t="s">
        <v>132</v>
      </c>
      <c r="B86" s="133">
        <f t="shared" si="27"/>
        <v>81</v>
      </c>
      <c r="C86" s="9"/>
      <c r="D86" s="9" t="s">
        <v>133</v>
      </c>
      <c r="E86" s="20">
        <f>SUBTOTAL(9,E87:E87,E89:E94)</f>
        <v>74070</v>
      </c>
      <c r="F86" s="665">
        <v>46820</v>
      </c>
      <c r="G86" s="20">
        <f>SUBTOTAL(9,G87:G87,G89:G94)</f>
        <v>74670</v>
      </c>
      <c r="H86" s="20">
        <f>SUBTOTAL(9,H87:H87,H89:H94)</f>
        <v>71500</v>
      </c>
      <c r="I86" s="20">
        <f>SUBTOTAL(9,I87:I87,I89:I94)</f>
        <v>57708.33</v>
      </c>
      <c r="J86" s="20"/>
      <c r="K86" s="20"/>
      <c r="L86" s="20">
        <f>SUBTOTAL(9,L87:L87,L89:L94)</f>
        <v>3995</v>
      </c>
      <c r="M86" s="20">
        <f>SUBTOTAL(9,M87:M87,M89:M94)</f>
        <v>9215</v>
      </c>
      <c r="N86" s="20">
        <f>SUBTOTAL(9,N87:N87,N89:N94)</f>
        <v>14955.000000000002</v>
      </c>
      <c r="O86" s="14"/>
      <c r="Q86" s="6"/>
      <c r="R86" s="6"/>
    </row>
    <row r="87" spans="1:18" outlineLevel="2" x14ac:dyDescent="0.2">
      <c r="A87" s="182" t="s">
        <v>134</v>
      </c>
      <c r="B87" s="134">
        <f t="shared" si="27"/>
        <v>82</v>
      </c>
      <c r="C87" s="10" t="s">
        <v>1193</v>
      </c>
      <c r="D87" s="10" t="s">
        <v>1199</v>
      </c>
      <c r="E87" s="21">
        <f>800*5*12</f>
        <v>48000</v>
      </c>
      <c r="F87" s="853">
        <v>25698.200000000004</v>
      </c>
      <c r="G87" s="21">
        <f>800*5*12</f>
        <v>48000</v>
      </c>
      <c r="H87" s="21">
        <f>800*5*12</f>
        <v>48000</v>
      </c>
      <c r="I87" s="664">
        <f>WiWi!J10+KSW!J10+PSY!J10+ReWi!J10+M_I!J10</f>
        <v>44193.33</v>
      </c>
      <c r="J87" s="21"/>
      <c r="K87" s="21"/>
      <c r="L87" s="21">
        <f>(HHJ_2022_2023!H199*0.52)+(HHJ_2022_2023!H209*0.87)+(HHJ_2022_2023!H219*0.8)+(HHJ_2022_2023!H229*0.33)+(HHJ_2022_2023!H239*0.26)</f>
        <v>2219.65</v>
      </c>
      <c r="M87" s="21">
        <f>(HHJ_2022_2023!J199*0.52)+(HHJ_2022_2023!J209*0.87)+(HHJ_2022_2023!J219*0.8)+(HHJ_2022_2023!J229*0.33)+(HHJ_2022_2023!J239*0.26)</f>
        <v>5163.75</v>
      </c>
      <c r="N87" s="21">
        <f>(HHJ_2022_2023!L199*0.52)+(HHJ_2022_2023!L209*0.87)+(HHJ_2022_2023!L219*0.8)+(HHJ_2022_2023!L229*0.33)+(HHJ_2022_2023!L239*0.26)</f>
        <v>8593.6</v>
      </c>
      <c r="O87" s="14"/>
      <c r="R87" s="6"/>
    </row>
    <row r="88" spans="1:18" outlineLevel="2" x14ac:dyDescent="0.2">
      <c r="A88" s="182" t="s">
        <v>135</v>
      </c>
      <c r="B88" s="134">
        <f t="shared" si="27"/>
        <v>83</v>
      </c>
      <c r="C88" s="10"/>
      <c r="D88" s="10" t="s">
        <v>1194</v>
      </c>
      <c r="E88" s="21">
        <f>SUBTOTAL(9,E89:E93)</f>
        <v>25070</v>
      </c>
      <c r="F88" s="853">
        <v>20731.800000000003</v>
      </c>
      <c r="G88" s="21">
        <f>SUBTOTAL(9,G89:G93)</f>
        <v>25670</v>
      </c>
      <c r="H88" s="21">
        <f>SUBTOTAL(9,H89:H93)</f>
        <v>22000</v>
      </c>
      <c r="I88" s="664">
        <f>SUBTOTAL(9,I89:I93)</f>
        <v>12720</v>
      </c>
      <c r="J88" s="21"/>
      <c r="K88" s="21"/>
      <c r="L88" s="853">
        <f>SUBTOTAL(9,L89:L93)</f>
        <v>1775.35</v>
      </c>
      <c r="M88" s="853">
        <f>SUBTOTAL(9,M89:M93)</f>
        <v>3781.25</v>
      </c>
      <c r="N88" s="853">
        <f>SUBTOTAL(9,N89:N93)</f>
        <v>6091.4</v>
      </c>
      <c r="O88" s="14"/>
      <c r="Q88" s="6"/>
      <c r="R88" s="6"/>
    </row>
    <row r="89" spans="1:18" outlineLevel="3" x14ac:dyDescent="0.2">
      <c r="A89" s="182" t="s">
        <v>136</v>
      </c>
      <c r="B89" s="134">
        <f t="shared" si="27"/>
        <v>84</v>
      </c>
      <c r="C89" s="10" t="s">
        <v>1192</v>
      </c>
      <c r="D89" s="13" t="s">
        <v>137</v>
      </c>
      <c r="E89" s="21">
        <f>WiWi!E11</f>
        <v>8600</v>
      </c>
      <c r="F89" s="860">
        <v>4912.8</v>
      </c>
      <c r="G89" s="21">
        <f>WiWi!G11</f>
        <v>8600</v>
      </c>
      <c r="H89" s="21">
        <f>[1]WiWi!G11</f>
        <v>10400</v>
      </c>
      <c r="I89" s="664">
        <f>WiWi!J11</f>
        <v>5830</v>
      </c>
      <c r="J89" s="21"/>
      <c r="K89" s="21"/>
      <c r="L89" s="21">
        <f>HHJ_2022_2023!H199*0.48</f>
        <v>384</v>
      </c>
      <c r="M89" s="21">
        <f>HHJ_2022_2023!J199*0.48</f>
        <v>868.8</v>
      </c>
      <c r="N89" s="21">
        <f>HHJ_2022_2023!L199*0.48</f>
        <v>1428</v>
      </c>
      <c r="O89" s="14"/>
      <c r="R89" s="6"/>
    </row>
    <row r="90" spans="1:18" outlineLevel="3" x14ac:dyDescent="0.2">
      <c r="A90" s="182" t="s">
        <v>138</v>
      </c>
      <c r="B90" s="134">
        <f t="shared" si="27"/>
        <v>85</v>
      </c>
      <c r="C90" s="10" t="s">
        <v>139</v>
      </c>
      <c r="D90" s="13" t="s">
        <v>140</v>
      </c>
      <c r="E90" s="21">
        <f>KSW!E11</f>
        <v>5270</v>
      </c>
      <c r="F90" s="860">
        <v>988</v>
      </c>
      <c r="G90" s="21">
        <f>KSW!G11</f>
        <v>5270</v>
      </c>
      <c r="H90" s="21">
        <f>KSW!I11</f>
        <v>1400</v>
      </c>
      <c r="I90" s="664">
        <f>KSW!J11</f>
        <v>1160</v>
      </c>
      <c r="J90" s="21"/>
      <c r="K90" s="21"/>
      <c r="L90" s="21">
        <f>HHJ_2022_2023!H209*0.13</f>
        <v>103.35000000000001</v>
      </c>
      <c r="M90" s="21">
        <f>HHJ_2022_2023!J209*0.13</f>
        <v>242.45000000000002</v>
      </c>
      <c r="N90" s="21">
        <f>HHJ_2022_2023!L209*0.13</f>
        <v>330.2</v>
      </c>
      <c r="O90" s="14"/>
      <c r="Q90" s="6"/>
      <c r="R90" s="6"/>
    </row>
    <row r="91" spans="1:18" outlineLevel="3" x14ac:dyDescent="0.2">
      <c r="A91" s="182" t="s">
        <v>141</v>
      </c>
      <c r="B91" s="134">
        <f t="shared" si="27"/>
        <v>86</v>
      </c>
      <c r="C91" s="10" t="s">
        <v>142</v>
      </c>
      <c r="D91" s="13" t="s">
        <v>143</v>
      </c>
      <c r="E91" s="21">
        <f>PSY!E11</f>
        <v>4400</v>
      </c>
      <c r="F91" s="860">
        <v>2087</v>
      </c>
      <c r="G91" s="21">
        <f>PSY!G11</f>
        <v>4500</v>
      </c>
      <c r="H91" s="21">
        <f>PSY!I11</f>
        <v>2400</v>
      </c>
      <c r="I91" s="664">
        <f>PSY!J11</f>
        <v>3110</v>
      </c>
      <c r="J91" s="21"/>
      <c r="K91" s="21"/>
      <c r="L91" s="21">
        <f>HHJ_2022_2023!H219*0.2</f>
        <v>160</v>
      </c>
      <c r="M91" s="21">
        <f>HHJ_2022_2023!J219*0.2</f>
        <v>414</v>
      </c>
      <c r="N91" s="21">
        <f>HHJ_2022_2023!L219*0.2</f>
        <v>842</v>
      </c>
      <c r="O91" s="14"/>
      <c r="R91" s="6"/>
    </row>
    <row r="92" spans="1:18" outlineLevel="3" x14ac:dyDescent="0.2">
      <c r="A92" s="182" t="s">
        <v>144</v>
      </c>
      <c r="B92" s="134">
        <f t="shared" si="27"/>
        <v>87</v>
      </c>
      <c r="C92" s="10" t="s">
        <v>145</v>
      </c>
      <c r="D92" s="13" t="s">
        <v>146</v>
      </c>
      <c r="E92" s="21">
        <f>ReWi!E11</f>
        <v>4400</v>
      </c>
      <c r="F92" s="860">
        <v>6646.4000000000005</v>
      </c>
      <c r="G92" s="21">
        <f>ReWi!G11</f>
        <v>5000</v>
      </c>
      <c r="H92" s="21">
        <f>ReWi!I11</f>
        <v>4400</v>
      </c>
      <c r="I92" s="664">
        <f>ReWi!J11</f>
        <v>2350</v>
      </c>
      <c r="J92" s="21"/>
      <c r="K92" s="21"/>
      <c r="L92" s="21">
        <f>HHJ_2022_2023!H229*0.67</f>
        <v>536</v>
      </c>
      <c r="M92" s="21">
        <f>HHJ_2022_2023!J229*0.67</f>
        <v>1072</v>
      </c>
      <c r="N92" s="21">
        <f>HHJ_2022_2023!L229*0.67</f>
        <v>1715.2</v>
      </c>
      <c r="O92" s="14"/>
      <c r="Q92" s="6"/>
      <c r="R92" s="6"/>
    </row>
    <row r="93" spans="1:18" outlineLevel="3" x14ac:dyDescent="0.2">
      <c r="A93" s="182" t="s">
        <v>147</v>
      </c>
      <c r="B93" s="134">
        <f t="shared" si="27"/>
        <v>88</v>
      </c>
      <c r="C93" s="10" t="s">
        <v>1202</v>
      </c>
      <c r="D93" s="13" t="s">
        <v>148</v>
      </c>
      <c r="E93" s="21">
        <f>M_I!E11</f>
        <v>2400</v>
      </c>
      <c r="F93" s="860">
        <v>6097.6</v>
      </c>
      <c r="G93" s="21">
        <f>M_I!G11</f>
        <v>2300</v>
      </c>
      <c r="H93" s="21">
        <f>M_I!I11</f>
        <v>3400</v>
      </c>
      <c r="I93" s="664">
        <f>M_I!J11</f>
        <v>270</v>
      </c>
      <c r="J93" s="21"/>
      <c r="K93" s="21"/>
      <c r="L93" s="21">
        <f>HHJ_2022_2023!H239*0.74</f>
        <v>592</v>
      </c>
      <c r="M93" s="21">
        <f>HHJ_2022_2023!J239*0.74</f>
        <v>1184</v>
      </c>
      <c r="N93" s="21">
        <f>HHJ_2022_2023!L239*0.74</f>
        <v>1776</v>
      </c>
      <c r="O93" s="14"/>
      <c r="R93" s="6"/>
    </row>
    <row r="94" spans="1:18" outlineLevel="2" x14ac:dyDescent="0.2">
      <c r="A94" s="182" t="s">
        <v>149</v>
      </c>
      <c r="B94" s="134">
        <f t="shared" si="27"/>
        <v>89</v>
      </c>
      <c r="C94" s="10" t="s">
        <v>150</v>
      </c>
      <c r="D94" s="10" t="s">
        <v>151</v>
      </c>
      <c r="E94" s="21">
        <v>1000</v>
      </c>
      <c r="F94" s="853">
        <v>390</v>
      </c>
      <c r="G94" s="21">
        <v>1000</v>
      </c>
      <c r="H94" s="21">
        <v>1500</v>
      </c>
      <c r="I94" s="664">
        <v>795</v>
      </c>
      <c r="J94" s="21"/>
      <c r="K94" s="21"/>
      <c r="L94" s="21">
        <f>HHJ_2022_2023!H192</f>
        <v>0</v>
      </c>
      <c r="M94" s="21">
        <f>HHJ_2022_2023!J192</f>
        <v>270</v>
      </c>
      <c r="N94" s="21">
        <f>HHJ_2022_2023!L192</f>
        <v>270</v>
      </c>
      <c r="O94" s="14"/>
      <c r="Q94" s="6"/>
      <c r="R94" s="6"/>
    </row>
    <row r="95" spans="1:18" outlineLevel="1" x14ac:dyDescent="0.2">
      <c r="B95" s="131">
        <f t="shared" si="27"/>
        <v>90</v>
      </c>
      <c r="F95" s="25"/>
      <c r="J95" s="14"/>
      <c r="K95" s="14"/>
      <c r="L95" s="14"/>
      <c r="M95" s="14"/>
      <c r="N95" s="14"/>
      <c r="O95" s="14"/>
      <c r="R95" s="6"/>
    </row>
    <row r="96" spans="1:18" outlineLevel="1" x14ac:dyDescent="0.2">
      <c r="A96" s="181" t="s">
        <v>152</v>
      </c>
      <c r="B96" s="133">
        <f t="shared" si="27"/>
        <v>91</v>
      </c>
      <c r="C96" s="9"/>
      <c r="D96" s="9" t="s">
        <v>153</v>
      </c>
      <c r="E96" s="20" t="e">
        <f>SUBTOTAL(9,E97:E100)</f>
        <v>#REF!</v>
      </c>
      <c r="F96" s="665">
        <v>95460.840000000011</v>
      </c>
      <c r="G96" s="20" t="e">
        <f>SUBTOTAL(9,G97:G100)</f>
        <v>#REF!</v>
      </c>
      <c r="H96" s="20" t="e">
        <f>SUBTOTAL(9,H97:H100)</f>
        <v>#REF!</v>
      </c>
      <c r="I96" s="665">
        <f>SUBTOTAL(9,I97:I100)</f>
        <v>116485.4</v>
      </c>
      <c r="J96" s="20"/>
      <c r="K96" s="20"/>
      <c r="L96" s="665">
        <f>SUBTOTAL(9,L97:L100)</f>
        <v>10079.51</v>
      </c>
      <c r="M96" s="665">
        <f>SUBTOTAL(9,M97:M100)</f>
        <v>19579.87</v>
      </c>
      <c r="N96" s="665">
        <f>SUBTOTAL(9,N97:N100)</f>
        <v>26934.07</v>
      </c>
      <c r="O96" s="14"/>
      <c r="Q96" s="6"/>
      <c r="R96" s="6"/>
    </row>
    <row r="97" spans="1:18" outlineLevel="2" x14ac:dyDescent="0.2">
      <c r="A97" s="182" t="s">
        <v>154</v>
      </c>
      <c r="B97" s="134">
        <f t="shared" si="27"/>
        <v>92</v>
      </c>
      <c r="C97" s="10" t="s">
        <v>155</v>
      </c>
      <c r="D97" s="13" t="s">
        <v>156</v>
      </c>
      <c r="E97" s="21" t="e">
        <f>#REF!</f>
        <v>#REF!</v>
      </c>
      <c r="F97" s="860">
        <v>56217</v>
      </c>
      <c r="G97" s="21" t="e">
        <f>#REF!</f>
        <v>#REF!</v>
      </c>
      <c r="H97" s="21" t="e">
        <f>#REF!</f>
        <v>#REF!</v>
      </c>
      <c r="I97" s="664">
        <v>68187</v>
      </c>
      <c r="J97" s="21"/>
      <c r="K97" s="21"/>
      <c r="L97" s="21">
        <f>HHJ_2022_2023!H40</f>
        <v>5988</v>
      </c>
      <c r="M97" s="21">
        <f>HHJ_2022_2023!J40</f>
        <v>11676</v>
      </c>
      <c r="N97" s="21">
        <f>HHJ_2022_2023!L40</f>
        <v>16930.2</v>
      </c>
      <c r="O97" s="14"/>
      <c r="R97" s="6"/>
    </row>
    <row r="98" spans="1:18" outlineLevel="2" x14ac:dyDescent="0.2">
      <c r="A98" s="182" t="s">
        <v>157</v>
      </c>
      <c r="B98" s="134">
        <f t="shared" si="27"/>
        <v>93</v>
      </c>
      <c r="C98" s="10" t="s">
        <v>160</v>
      </c>
      <c r="D98" s="13" t="s">
        <v>158</v>
      </c>
      <c r="E98" s="21" t="e">
        <f>#REF!</f>
        <v>#REF!</v>
      </c>
      <c r="F98" s="860">
        <v>16706.04</v>
      </c>
      <c r="G98" s="21" t="e">
        <f>#REF!</f>
        <v>#REF!</v>
      </c>
      <c r="H98" s="21" t="e">
        <f>#REF!</f>
        <v>#REF!</v>
      </c>
      <c r="I98" s="664">
        <v>21331.89</v>
      </c>
      <c r="J98" s="21"/>
      <c r="K98" s="21"/>
      <c r="L98" s="21">
        <f>HHJ_2022_2023!H41</f>
        <v>1816.51</v>
      </c>
      <c r="M98" s="21">
        <f>HHJ_2022_2023!J41</f>
        <v>3353.87</v>
      </c>
      <c r="N98" s="21">
        <f>HHJ_2022_2023!L41</f>
        <v>3353.87</v>
      </c>
      <c r="O98" s="14"/>
      <c r="Q98" s="6"/>
      <c r="R98" s="6"/>
    </row>
    <row r="99" spans="1:18" outlineLevel="2" x14ac:dyDescent="0.2">
      <c r="A99" s="182" t="s">
        <v>159</v>
      </c>
      <c r="B99" s="134">
        <f t="shared" si="27"/>
        <v>94</v>
      </c>
      <c r="C99" s="10" t="s">
        <v>124</v>
      </c>
      <c r="D99" s="13" t="s">
        <v>161</v>
      </c>
      <c r="E99" s="21" t="e">
        <f>#REF!</f>
        <v>#REF!</v>
      </c>
      <c r="F99" s="860">
        <v>22312.5</v>
      </c>
      <c r="G99" s="21" t="e">
        <f>#REF!</f>
        <v>#REF!</v>
      </c>
      <c r="H99" s="21" t="e">
        <f>#REF!</f>
        <v>#REF!</v>
      </c>
      <c r="I99" s="664">
        <v>26775</v>
      </c>
      <c r="J99" s="21"/>
      <c r="K99" s="21"/>
      <c r="L99" s="21">
        <f>HHJ_2022_2023!H32</f>
        <v>2275</v>
      </c>
      <c r="M99" s="21">
        <f>HHJ_2022_2023!J32</f>
        <v>4550</v>
      </c>
      <c r="N99" s="21">
        <f>HHJ_2022_2023!L32</f>
        <v>6650</v>
      </c>
      <c r="O99" s="14"/>
      <c r="R99" s="6"/>
    </row>
    <row r="100" spans="1:18" outlineLevel="2" x14ac:dyDescent="0.2">
      <c r="A100" s="182" t="s">
        <v>162</v>
      </c>
      <c r="B100" s="134">
        <f t="shared" si="27"/>
        <v>95</v>
      </c>
      <c r="C100" s="10" t="s">
        <v>163</v>
      </c>
      <c r="D100" s="13" t="s">
        <v>164</v>
      </c>
      <c r="E100" s="21" t="e">
        <f>#REF!</f>
        <v>#REF!</v>
      </c>
      <c r="F100" s="860">
        <v>225.3</v>
      </c>
      <c r="G100" s="21" t="e">
        <f>#REF!</f>
        <v>#REF!</v>
      </c>
      <c r="H100" s="21" t="e">
        <f>#REF!</f>
        <v>#REF!</v>
      </c>
      <c r="I100" s="664">
        <v>191.51</v>
      </c>
      <c r="J100" s="21"/>
      <c r="K100" s="21"/>
      <c r="L100" s="21">
        <f>HHJ_2022_2023!H43</f>
        <v>0</v>
      </c>
      <c r="M100" s="21">
        <f>HHJ_2022_2023!J43</f>
        <v>0</v>
      </c>
      <c r="N100" s="21">
        <f>HHJ_2022_2023!L43</f>
        <v>0</v>
      </c>
      <c r="O100" s="14"/>
      <c r="Q100" s="6"/>
      <c r="R100" s="6"/>
    </row>
    <row r="101" spans="1:18" outlineLevel="1" x14ac:dyDescent="0.2">
      <c r="B101" s="131">
        <f t="shared" si="27"/>
        <v>96</v>
      </c>
      <c r="F101" s="25"/>
      <c r="J101" s="14"/>
      <c r="K101" s="14"/>
      <c r="L101" s="14"/>
      <c r="M101" s="14"/>
      <c r="N101" s="14"/>
      <c r="O101" s="14"/>
      <c r="R101" s="6"/>
    </row>
    <row r="102" spans="1:18" outlineLevel="1" x14ac:dyDescent="0.2">
      <c r="A102" s="181" t="s">
        <v>165</v>
      </c>
      <c r="B102" s="133">
        <f t="shared" si="27"/>
        <v>97</v>
      </c>
      <c r="C102" s="9"/>
      <c r="D102" s="9" t="s">
        <v>166</v>
      </c>
      <c r="E102" s="20" t="e">
        <f>SUBTOTAL(9,E103:E107)</f>
        <v>#REF!</v>
      </c>
      <c r="F102" s="665">
        <v>162880.19</v>
      </c>
      <c r="G102" s="20" t="e">
        <f>SUBTOTAL(9,G103:G107)</f>
        <v>#REF!</v>
      </c>
      <c r="H102" s="20" t="e">
        <f>SUBTOTAL(9,H103:H107)</f>
        <v>#REF!</v>
      </c>
      <c r="I102" s="852">
        <f>SUBTOTAL(9,I103:I107)</f>
        <v>187240.54</v>
      </c>
      <c r="J102" s="20"/>
      <c r="K102" s="20"/>
      <c r="L102" s="665">
        <f>SUBTOTAL(9,L103:L107)</f>
        <v>15959.36</v>
      </c>
      <c r="M102" s="665">
        <f>SUBTOTAL(9,M103:M107)</f>
        <v>33709.03</v>
      </c>
      <c r="N102" s="665">
        <f>SUBTOTAL(9,N103:N107)</f>
        <v>43284.899999999994</v>
      </c>
      <c r="O102" s="14"/>
      <c r="Q102" s="6"/>
      <c r="R102" s="6"/>
    </row>
    <row r="103" spans="1:18" outlineLevel="2" x14ac:dyDescent="0.2">
      <c r="A103" s="182" t="s">
        <v>167</v>
      </c>
      <c r="B103" s="134">
        <f t="shared" si="27"/>
        <v>98</v>
      </c>
      <c r="C103" s="10" t="s">
        <v>168</v>
      </c>
      <c r="D103" s="13" t="s">
        <v>169</v>
      </c>
      <c r="E103" s="21" t="e">
        <f>#REF!</f>
        <v>#REF!</v>
      </c>
      <c r="F103" s="860">
        <v>75929.259999999995</v>
      </c>
      <c r="G103" s="21" t="e">
        <f>#REF!</f>
        <v>#REF!</v>
      </c>
      <c r="H103" s="21" t="e">
        <f>#REF!</f>
        <v>#REF!</v>
      </c>
      <c r="I103" s="664">
        <v>90530.79</v>
      </c>
      <c r="J103" s="21"/>
      <c r="K103" s="21"/>
      <c r="L103" s="21">
        <f>HHJ_2022_2023!H45+HHJ_2022_2023!H52</f>
        <v>7380.67</v>
      </c>
      <c r="M103" s="21">
        <f>HHJ_2022_2023!J45+HHJ_2022_2023!J52</f>
        <v>16443.93</v>
      </c>
      <c r="N103" s="21">
        <f>HHJ_2022_2023!L45+HHJ_2022_2023!L52</f>
        <v>22332.21</v>
      </c>
      <c r="O103" s="14"/>
      <c r="R103" s="6"/>
    </row>
    <row r="104" spans="1:18" outlineLevel="2" x14ac:dyDescent="0.2">
      <c r="A104" s="182" t="s">
        <v>170</v>
      </c>
      <c r="B104" s="134">
        <f t="shared" si="27"/>
        <v>99</v>
      </c>
      <c r="C104" s="10" t="s">
        <v>171</v>
      </c>
      <c r="D104" s="13" t="s">
        <v>172</v>
      </c>
      <c r="E104" s="21" t="e">
        <f>#REF!</f>
        <v>#REF!</v>
      </c>
      <c r="F104" s="860">
        <v>23365.7</v>
      </c>
      <c r="G104" s="21" t="e">
        <f>#REF!</f>
        <v>#REF!</v>
      </c>
      <c r="H104" s="21" t="e">
        <f>#REF!</f>
        <v>#REF!</v>
      </c>
      <c r="I104" s="664">
        <v>20905.61</v>
      </c>
      <c r="J104" s="21"/>
      <c r="K104" s="21"/>
      <c r="L104" s="21">
        <f>HHJ_2022_2023!H46</f>
        <v>2262.1</v>
      </c>
      <c r="M104" s="21">
        <f>HHJ_2022_2023!J46</f>
        <v>4128.1000000000004</v>
      </c>
      <c r="N104" s="21">
        <f>HHJ_2022_2023!L46</f>
        <v>7815.69</v>
      </c>
      <c r="O104" s="14"/>
      <c r="Q104" s="6"/>
      <c r="R104" s="6"/>
    </row>
    <row r="105" spans="1:18" outlineLevel="2" x14ac:dyDescent="0.2">
      <c r="A105" s="182" t="s">
        <v>173</v>
      </c>
      <c r="B105" s="134">
        <f t="shared" si="27"/>
        <v>100</v>
      </c>
      <c r="C105" s="10" t="s">
        <v>174</v>
      </c>
      <c r="D105" s="13" t="s">
        <v>175</v>
      </c>
      <c r="E105" s="21" t="e">
        <f>#REF!</f>
        <v>#REF!</v>
      </c>
      <c r="F105" s="860">
        <v>53356.08</v>
      </c>
      <c r="G105" s="21" t="e">
        <f>#REF!</f>
        <v>#REF!</v>
      </c>
      <c r="H105" s="21" t="e">
        <f>#REF!</f>
        <v>#REF!</v>
      </c>
      <c r="I105" s="664">
        <v>63085.8</v>
      </c>
      <c r="J105" s="21"/>
      <c r="K105" s="21"/>
      <c r="L105" s="21">
        <f>HHJ_2022_2023!H47+HHJ_2022_2023!H53</f>
        <v>5328.13</v>
      </c>
      <c r="M105" s="21">
        <f>HHJ_2022_2023!J47+HHJ_2022_2023!J53</f>
        <v>10785.98</v>
      </c>
      <c r="N105" s="21">
        <f>HHJ_2022_2023!L47+HHJ_2022_2023!L53</f>
        <v>10785.98</v>
      </c>
      <c r="O105" s="14"/>
      <c r="R105" s="6"/>
    </row>
    <row r="106" spans="1:18" outlineLevel="2" x14ac:dyDescent="0.2">
      <c r="A106" s="182" t="s">
        <v>176</v>
      </c>
      <c r="B106" s="134">
        <f t="shared" si="27"/>
        <v>101</v>
      </c>
      <c r="C106" s="10" t="s">
        <v>177</v>
      </c>
      <c r="D106" s="13" t="s">
        <v>178</v>
      </c>
      <c r="E106" s="21" t="e">
        <f>#REF!</f>
        <v>#REF!</v>
      </c>
      <c r="F106" s="860">
        <v>9757.4500000000007</v>
      </c>
      <c r="G106" s="21" t="e">
        <f>#REF!</f>
        <v>#REF!</v>
      </c>
      <c r="H106" s="21" t="e">
        <f>#REF!</f>
        <v>#REF!</v>
      </c>
      <c r="I106" s="664">
        <v>12261.25</v>
      </c>
      <c r="J106" s="21"/>
      <c r="K106" s="21"/>
      <c r="L106" s="21">
        <f>HHJ_2022_2023!H48</f>
        <v>988.46</v>
      </c>
      <c r="M106" s="21">
        <f>HHJ_2022_2023!J48</f>
        <v>2351.02</v>
      </c>
      <c r="N106" s="21">
        <f>HHJ_2022_2023!L48</f>
        <v>2351.02</v>
      </c>
      <c r="O106" s="14"/>
      <c r="Q106" s="6"/>
      <c r="R106" s="6"/>
    </row>
    <row r="107" spans="1:18" outlineLevel="2" x14ac:dyDescent="0.2">
      <c r="A107" s="182" t="s">
        <v>179</v>
      </c>
      <c r="B107" s="134">
        <f t="shared" si="27"/>
        <v>102</v>
      </c>
      <c r="C107" s="10" t="s">
        <v>180</v>
      </c>
      <c r="D107" s="13" t="s">
        <v>181</v>
      </c>
      <c r="E107" s="21">
        <v>495</v>
      </c>
      <c r="F107" s="860">
        <v>471.7</v>
      </c>
      <c r="G107" s="21">
        <v>495</v>
      </c>
      <c r="H107" s="21">
        <v>500</v>
      </c>
      <c r="I107" s="664">
        <v>457.09</v>
      </c>
      <c r="J107" s="21"/>
      <c r="K107" s="21"/>
      <c r="L107" s="21">
        <f>HHJ_2022_2023!H50</f>
        <v>0</v>
      </c>
      <c r="M107" s="21">
        <f>HHJ_2022_2023!J50</f>
        <v>0</v>
      </c>
      <c r="N107" s="21">
        <f>HHJ_2022_2023!L50</f>
        <v>0</v>
      </c>
      <c r="O107" s="14"/>
      <c r="R107" s="6"/>
    </row>
    <row r="108" spans="1:18" outlineLevel="1" x14ac:dyDescent="0.2">
      <c r="B108" s="131">
        <f t="shared" si="27"/>
        <v>103</v>
      </c>
      <c r="F108" s="25"/>
      <c r="J108" s="14"/>
      <c r="K108" s="14"/>
      <c r="L108" s="14"/>
      <c r="M108" s="14"/>
      <c r="N108" s="14"/>
      <c r="O108" s="14"/>
      <c r="Q108" s="6"/>
      <c r="R108" s="6"/>
    </row>
    <row r="109" spans="1:18" outlineLevel="1" x14ac:dyDescent="0.2">
      <c r="A109" s="181" t="s">
        <v>182</v>
      </c>
      <c r="B109" s="133">
        <f t="shared" si="27"/>
        <v>104</v>
      </c>
      <c r="C109" s="9"/>
      <c r="D109" s="9" t="s">
        <v>183</v>
      </c>
      <c r="E109" s="20">
        <f>SUBTOTAL(9,E110:E113)</f>
        <v>4700</v>
      </c>
      <c r="F109" s="665">
        <v>604.17999999999995</v>
      </c>
      <c r="G109" s="20">
        <f>SUBTOTAL(9,G110:G113)</f>
        <v>4700</v>
      </c>
      <c r="H109" s="20">
        <f>SUBTOTAL(9,H110:H113)</f>
        <v>4800</v>
      </c>
      <c r="I109" s="852">
        <f>SUBTOTAL(9,I110:I113)</f>
        <v>199</v>
      </c>
      <c r="J109" s="20"/>
      <c r="K109" s="20"/>
      <c r="L109" s="665">
        <f>SUBTOTAL(9,L110:L113)</f>
        <v>164.86</v>
      </c>
      <c r="M109" s="665">
        <f>SUBTOTAL(9,M110:M113)</f>
        <v>254.86</v>
      </c>
      <c r="N109" s="665">
        <f>SUBTOTAL(9,N110:N113)</f>
        <v>254.86</v>
      </c>
      <c r="O109" s="14"/>
      <c r="R109" s="6"/>
    </row>
    <row r="110" spans="1:18" outlineLevel="2" x14ac:dyDescent="0.2">
      <c r="A110" s="182" t="s">
        <v>184</v>
      </c>
      <c r="B110" s="134">
        <f t="shared" si="27"/>
        <v>105</v>
      </c>
      <c r="C110" s="10" t="s">
        <v>185</v>
      </c>
      <c r="D110" s="10" t="s">
        <v>186</v>
      </c>
      <c r="E110" s="21">
        <v>1500</v>
      </c>
      <c r="F110" s="853">
        <v>150.31</v>
      </c>
      <c r="G110" s="21">
        <v>1500</v>
      </c>
      <c r="H110" s="21">
        <v>1500</v>
      </c>
      <c r="I110" s="664">
        <v>0</v>
      </c>
      <c r="J110" s="21"/>
      <c r="K110" s="21"/>
      <c r="L110" s="21">
        <f>HHJ_2022_2023!H82</f>
        <v>104.86</v>
      </c>
      <c r="M110" s="21">
        <f>HHJ_2022_2023!J82</f>
        <v>104.86</v>
      </c>
      <c r="N110" s="21">
        <f>HHJ_2022_2023!L82</f>
        <v>104.86</v>
      </c>
      <c r="O110" s="14"/>
      <c r="Q110" s="6"/>
      <c r="R110" s="6"/>
    </row>
    <row r="111" spans="1:18" outlineLevel="2" x14ac:dyDescent="0.2">
      <c r="A111" s="182" t="s">
        <v>187</v>
      </c>
      <c r="B111" s="134">
        <f t="shared" si="27"/>
        <v>106</v>
      </c>
      <c r="C111" s="10" t="s">
        <v>188</v>
      </c>
      <c r="D111" s="10" t="s">
        <v>46</v>
      </c>
      <c r="E111" s="21">
        <v>1000</v>
      </c>
      <c r="F111" s="853">
        <v>387.47</v>
      </c>
      <c r="G111" s="21">
        <v>1000</v>
      </c>
      <c r="H111" s="21">
        <v>1000</v>
      </c>
      <c r="I111" s="664">
        <v>199</v>
      </c>
      <c r="J111" s="21"/>
      <c r="K111" s="21"/>
      <c r="L111" s="21">
        <f>HHJ_2022_2023!H84</f>
        <v>60</v>
      </c>
      <c r="M111" s="21">
        <f>HHJ_2022_2023!J84</f>
        <v>150</v>
      </c>
      <c r="N111" s="21">
        <f>HHJ_2022_2023!L84</f>
        <v>150</v>
      </c>
      <c r="O111" s="14"/>
      <c r="R111" s="6"/>
    </row>
    <row r="112" spans="1:18" outlineLevel="2" x14ac:dyDescent="0.2">
      <c r="A112" s="182" t="s">
        <v>189</v>
      </c>
      <c r="B112" s="134">
        <f t="shared" si="27"/>
        <v>107</v>
      </c>
      <c r="C112" s="10" t="s">
        <v>190</v>
      </c>
      <c r="D112" s="10" t="s">
        <v>191</v>
      </c>
      <c r="E112" s="21">
        <v>1500</v>
      </c>
      <c r="F112" s="853">
        <v>0</v>
      </c>
      <c r="G112" s="21">
        <v>1500</v>
      </c>
      <c r="H112" s="21">
        <v>1500</v>
      </c>
      <c r="I112" s="664">
        <v>0</v>
      </c>
      <c r="J112" s="21"/>
      <c r="K112" s="21"/>
      <c r="L112" s="21">
        <f>HHJ_2022_2023!H83</f>
        <v>0</v>
      </c>
      <c r="M112" s="21">
        <f>HHJ_2022_2023!J83</f>
        <v>0</v>
      </c>
      <c r="N112" s="21">
        <f>HHJ_2022_2023!L83</f>
        <v>0</v>
      </c>
      <c r="O112" s="14"/>
      <c r="Q112" s="6"/>
      <c r="R112" s="6"/>
    </row>
    <row r="113" spans="1:18" outlineLevel="2" x14ac:dyDescent="0.2">
      <c r="A113" s="182" t="s">
        <v>192</v>
      </c>
      <c r="B113" s="134">
        <f t="shared" si="27"/>
        <v>108</v>
      </c>
      <c r="C113" s="10" t="s">
        <v>1181</v>
      </c>
      <c r="D113" s="10" t="s">
        <v>193</v>
      </c>
      <c r="E113" s="21">
        <v>700</v>
      </c>
      <c r="F113" s="853">
        <v>66.400000000000006</v>
      </c>
      <c r="G113" s="21">
        <v>700</v>
      </c>
      <c r="H113" s="21">
        <v>800</v>
      </c>
      <c r="I113" s="664">
        <v>0</v>
      </c>
      <c r="J113" s="21"/>
      <c r="K113" s="21"/>
      <c r="L113" s="21">
        <f>HHJ_2022_2023!H42+HHJ_2022_2023!H49+HHJ_2022_2023!H91+HHJ_2022_2023!H92+HHJ_2022_2023!H93</f>
        <v>0</v>
      </c>
      <c r="M113" s="21">
        <f>HHJ_2022_2023!J42+HHJ_2022_2023!J49+HHJ_2022_2023!J91+HHJ_2022_2023!J92+HHJ_2022_2023!J93</f>
        <v>0</v>
      </c>
      <c r="N113" s="21">
        <f>HHJ_2022_2023!L42+HHJ_2022_2023!L49+HHJ_2022_2023!L91+HHJ_2022_2023!L92+HHJ_2022_2023!L93</f>
        <v>0</v>
      </c>
      <c r="O113" s="14"/>
      <c r="R113" s="6"/>
    </row>
    <row r="114" spans="1:18" outlineLevel="1" x14ac:dyDescent="0.2">
      <c r="B114" s="131">
        <f t="shared" si="27"/>
        <v>109</v>
      </c>
      <c r="F114" s="25"/>
      <c r="J114" s="14"/>
      <c r="K114" s="14"/>
      <c r="L114" s="14"/>
      <c r="M114" s="14"/>
      <c r="N114" s="14"/>
      <c r="O114" s="14"/>
      <c r="Q114" s="6"/>
      <c r="R114" s="6"/>
    </row>
    <row r="115" spans="1:18" x14ac:dyDescent="0.2">
      <c r="B115" s="131">
        <f t="shared" si="27"/>
        <v>110</v>
      </c>
      <c r="F115" s="25"/>
      <c r="J115" s="14"/>
      <c r="K115" s="14"/>
      <c r="L115" s="14"/>
      <c r="M115" s="14"/>
      <c r="N115" s="14"/>
      <c r="O115" s="14"/>
      <c r="R115" s="6"/>
    </row>
    <row r="116" spans="1:18" x14ac:dyDescent="0.2">
      <c r="A116" s="138" t="s">
        <v>194</v>
      </c>
      <c r="B116" s="132">
        <f t="shared" si="27"/>
        <v>111</v>
      </c>
      <c r="C116" s="8"/>
      <c r="D116" s="8" t="s">
        <v>195</v>
      </c>
      <c r="E116" s="19">
        <f>SUBTOTAL(9,E118:E247)</f>
        <v>803071</v>
      </c>
      <c r="F116" s="855">
        <v>135068.13</v>
      </c>
      <c r="G116" s="19">
        <f>SUBTOTAL(9,G118:G247)</f>
        <v>830147.28</v>
      </c>
      <c r="H116" s="19">
        <f>SUBTOTAL(9,H118:H247)</f>
        <v>725320</v>
      </c>
      <c r="I116" s="19">
        <f>SUBTOTAL(9,I118:I247)</f>
        <v>553204.80000000005</v>
      </c>
      <c r="J116" s="19"/>
      <c r="K116" s="19"/>
      <c r="L116" s="19">
        <f>SUBTOTAL(9,L118:L247)</f>
        <v>5265.57</v>
      </c>
      <c r="M116" s="19">
        <f>SUBTOTAL(9,M118:M247)</f>
        <v>22947.539999999997</v>
      </c>
      <c r="N116" s="19">
        <f>SUBTOTAL(9,N118:N247)</f>
        <v>28648.979999999996</v>
      </c>
      <c r="O116" s="14"/>
      <c r="Q116" s="6"/>
      <c r="R116" s="6"/>
    </row>
    <row r="117" spans="1:18" outlineLevel="1" x14ac:dyDescent="0.2">
      <c r="A117" s="181" t="s">
        <v>196</v>
      </c>
      <c r="B117" s="133">
        <f t="shared" si="27"/>
        <v>112</v>
      </c>
      <c r="C117" s="9"/>
      <c r="D117" s="9" t="s">
        <v>197</v>
      </c>
      <c r="E117" s="20">
        <f>SUBTOTAL(9,E118:E125)</f>
        <v>19685</v>
      </c>
      <c r="F117" s="665">
        <v>10894.248</v>
      </c>
      <c r="G117" s="20">
        <f>SUBTOTAL(9,G118:G125)</f>
        <v>17532.28</v>
      </c>
      <c r="H117" s="20">
        <f>SUBTOTAL(9,H118:H125)</f>
        <v>13510</v>
      </c>
      <c r="I117" s="20">
        <f>SUBTOTAL(9,I118:I125)</f>
        <v>13208.32</v>
      </c>
      <c r="J117" s="20"/>
      <c r="K117" s="20"/>
      <c r="L117" s="20">
        <f>SUBTOTAL(9,L118:L125)</f>
        <v>514.53399999999999</v>
      </c>
      <c r="M117" s="20">
        <f>SUBTOTAL(9,M118:M125)</f>
        <v>1520.694</v>
      </c>
      <c r="N117" s="20">
        <f>SUBTOTAL(9,N118:N125)</f>
        <v>2282.694</v>
      </c>
      <c r="O117" s="14"/>
      <c r="R117" s="6"/>
    </row>
    <row r="118" spans="1:18" outlineLevel="2" x14ac:dyDescent="0.2">
      <c r="A118" s="182" t="s">
        <v>198</v>
      </c>
      <c r="B118" s="134">
        <f t="shared" si="27"/>
        <v>113</v>
      </c>
      <c r="C118" s="10" t="s">
        <v>199</v>
      </c>
      <c r="D118" s="10" t="s">
        <v>200</v>
      </c>
      <c r="E118" s="979">
        <v>3000</v>
      </c>
      <c r="F118" s="853">
        <v>1443.62</v>
      </c>
      <c r="G118" s="21">
        <v>2000</v>
      </c>
      <c r="H118" s="21">
        <v>1610</v>
      </c>
      <c r="I118" s="664">
        <v>953.35</v>
      </c>
      <c r="J118" s="21"/>
      <c r="K118" s="21"/>
      <c r="L118" s="21">
        <f>HHJ_2022_2023!H59+HHJ_2022_2023!H61+HHJ_2022_2023!H79+HHJ_2022_2023!H80</f>
        <v>0</v>
      </c>
      <c r="M118" s="21">
        <f>HHJ_2022_2023!J59+HHJ_2022_2023!J61+HHJ_2022_2023!J79+HHJ_2022_2023!J80</f>
        <v>221.19</v>
      </c>
      <c r="N118" s="21">
        <f>HHJ_2022_2023!L59+HHJ_2022_2023!L61+HHJ_2022_2023!L79+HHJ_2022_2023!L80</f>
        <v>919.73</v>
      </c>
      <c r="O118" s="14"/>
      <c r="Q118" s="6"/>
      <c r="R118" s="6"/>
    </row>
    <row r="119" spans="1:18" outlineLevel="2" x14ac:dyDescent="0.2">
      <c r="A119" s="182" t="s">
        <v>201</v>
      </c>
      <c r="B119" s="134">
        <f t="shared" si="27"/>
        <v>114</v>
      </c>
      <c r="C119" s="10" t="s">
        <v>1203</v>
      </c>
      <c r="D119" s="10" t="s">
        <v>202</v>
      </c>
      <c r="E119" s="979">
        <v>1500</v>
      </c>
      <c r="F119" s="853">
        <v>588.06999999999994</v>
      </c>
      <c r="G119" s="21">
        <v>800</v>
      </c>
      <c r="H119" s="21">
        <v>550</v>
      </c>
      <c r="I119" s="664">
        <v>322.83999999999997</v>
      </c>
      <c r="J119" s="21"/>
      <c r="K119" s="21"/>
      <c r="L119" s="21">
        <f>HHJ_2022_2023!H57+HHJ_2022_2023!H62</f>
        <v>0</v>
      </c>
      <c r="M119" s="21">
        <f>HHJ_2022_2023!J57+HHJ_2022_2023!J62</f>
        <v>0</v>
      </c>
      <c r="N119" s="21">
        <f>HHJ_2022_2023!L57+HHJ_2022_2023!L62</f>
        <v>0</v>
      </c>
      <c r="O119" s="14"/>
      <c r="R119" s="6"/>
    </row>
    <row r="120" spans="1:18" outlineLevel="2" x14ac:dyDescent="0.2">
      <c r="A120" s="182" t="s">
        <v>203</v>
      </c>
      <c r="B120" s="134">
        <f t="shared" si="27"/>
        <v>115</v>
      </c>
      <c r="C120" s="10" t="s">
        <v>204</v>
      </c>
      <c r="D120" s="10" t="s">
        <v>205</v>
      </c>
      <c r="E120" s="979">
        <v>535</v>
      </c>
      <c r="F120" s="853">
        <v>267.55</v>
      </c>
      <c r="G120" s="21">
        <v>602.28</v>
      </c>
      <c r="H120" s="21">
        <v>350</v>
      </c>
      <c r="I120" s="664">
        <v>332.2</v>
      </c>
      <c r="J120" s="21"/>
      <c r="K120" s="21"/>
      <c r="L120" s="21">
        <f>HHJ_2022_2023!H64</f>
        <v>0</v>
      </c>
      <c r="M120" s="21">
        <f>HHJ_2022_2023!J64</f>
        <v>0</v>
      </c>
      <c r="N120" s="21">
        <f>HHJ_2022_2023!L64</f>
        <v>0</v>
      </c>
      <c r="O120" s="14"/>
      <c r="Q120" s="6"/>
      <c r="R120" s="6"/>
    </row>
    <row r="121" spans="1:18" outlineLevel="2" x14ac:dyDescent="0.2">
      <c r="A121" s="182" t="s">
        <v>206</v>
      </c>
      <c r="B121" s="134">
        <f t="shared" si="27"/>
        <v>116</v>
      </c>
      <c r="C121" s="10" t="s">
        <v>207</v>
      </c>
      <c r="D121" s="10" t="s">
        <v>208</v>
      </c>
      <c r="E121" s="979">
        <v>800</v>
      </c>
      <c r="F121" s="853">
        <v>551.20000000000005</v>
      </c>
      <c r="G121" s="21">
        <v>1200</v>
      </c>
      <c r="H121" s="21">
        <v>600</v>
      </c>
      <c r="I121" s="664">
        <v>1915.76</v>
      </c>
      <c r="J121" s="21"/>
      <c r="K121" s="21"/>
      <c r="L121" s="21">
        <f>HHJ_2022_2023!H58</f>
        <v>49.9</v>
      </c>
      <c r="M121" s="21">
        <f>HHJ_2022_2023!J58</f>
        <v>99.8</v>
      </c>
      <c r="N121" s="21">
        <f>HHJ_2022_2023!L58</f>
        <v>99.8</v>
      </c>
      <c r="O121" s="14"/>
      <c r="R121" s="6"/>
    </row>
    <row r="122" spans="1:18" outlineLevel="2" x14ac:dyDescent="0.2">
      <c r="A122" s="182" t="s">
        <v>209</v>
      </c>
      <c r="B122" s="134">
        <f>ROW(B118)</f>
        <v>118</v>
      </c>
      <c r="C122" s="10" t="s">
        <v>210</v>
      </c>
      <c r="D122" s="10" t="s">
        <v>211</v>
      </c>
      <c r="E122" s="979">
        <v>800</v>
      </c>
      <c r="F122" s="853">
        <v>582.53</v>
      </c>
      <c r="G122" s="21">
        <v>800</v>
      </c>
      <c r="H122" s="21">
        <v>700</v>
      </c>
      <c r="I122" s="664">
        <v>648.78</v>
      </c>
      <c r="J122" s="21"/>
      <c r="K122" s="21"/>
      <c r="L122" s="21">
        <f>HHJ_2022_2023!H66+HHJ_2022_2023!H67</f>
        <v>53.790000000000006</v>
      </c>
      <c r="M122" s="21">
        <f>HHJ_2022_2023!J66+HHJ_2022_2023!J67</f>
        <v>110.33000000000001</v>
      </c>
      <c r="N122" s="21">
        <f>HHJ_2022_2023!L66+HHJ_2022_2023!L67</f>
        <v>166.66000000000003</v>
      </c>
      <c r="O122" s="14"/>
      <c r="Q122" s="6"/>
      <c r="R122" s="6"/>
    </row>
    <row r="123" spans="1:18" outlineLevel="2" x14ac:dyDescent="0.2">
      <c r="A123" s="182" t="s">
        <v>212</v>
      </c>
      <c r="B123" s="134">
        <f>ROW(B119)</f>
        <v>119</v>
      </c>
      <c r="C123" s="10" t="s">
        <v>213</v>
      </c>
      <c r="D123" s="13" t="s">
        <v>214</v>
      </c>
      <c r="E123" s="979">
        <f>Tabelle177[[#Totals],[Beträge/Budget]]</f>
        <v>5300</v>
      </c>
      <c r="F123" s="860">
        <v>2299.61</v>
      </c>
      <c r="G123" s="21">
        <f>Tabelle17[[#Totals],[Beträge/Budget]]</f>
        <v>4080</v>
      </c>
      <c r="H123" s="21">
        <v>3500</v>
      </c>
      <c r="I123" s="664">
        <v>2552.9699999999998</v>
      </c>
      <c r="J123" s="21"/>
      <c r="K123" s="21"/>
      <c r="L123" s="21">
        <f>HHJ_2022_2023!H69</f>
        <v>0</v>
      </c>
      <c r="M123" s="21">
        <f>HHJ_2022_2023!J69</f>
        <v>225.29</v>
      </c>
      <c r="N123" s="21">
        <f>HHJ_2022_2023!L69</f>
        <v>225.29</v>
      </c>
      <c r="O123" s="14"/>
      <c r="R123" s="6"/>
    </row>
    <row r="124" spans="1:18" outlineLevel="2" x14ac:dyDescent="0.2">
      <c r="A124" s="182" t="s">
        <v>215</v>
      </c>
      <c r="B124" s="134">
        <f>ROW(B120)</f>
        <v>120</v>
      </c>
      <c r="C124" s="10" t="s">
        <v>216</v>
      </c>
      <c r="D124" s="10" t="s">
        <v>217</v>
      </c>
      <c r="E124" s="979">
        <v>300</v>
      </c>
      <c r="F124" s="853">
        <v>111.45</v>
      </c>
      <c r="G124" s="21">
        <v>100</v>
      </c>
      <c r="H124" s="21">
        <v>100</v>
      </c>
      <c r="I124" s="664">
        <v>0</v>
      </c>
      <c r="J124" s="21"/>
      <c r="K124" s="21"/>
      <c r="L124" s="21">
        <f>HHJ_2022_2023!H60+HHJ_2022_2023!H63</f>
        <v>0</v>
      </c>
      <c r="M124" s="21">
        <f>HHJ_2022_2023!J60+HHJ_2022_2023!J63</f>
        <v>0</v>
      </c>
      <c r="N124" s="21">
        <f>HHJ_2022_2023!L60+HHJ_2022_2023!L63</f>
        <v>0</v>
      </c>
      <c r="O124" s="14"/>
      <c r="Q124" s="6"/>
      <c r="R124" s="6"/>
    </row>
    <row r="125" spans="1:18" outlineLevel="2" x14ac:dyDescent="0.2">
      <c r="A125" s="182" t="s">
        <v>218</v>
      </c>
      <c r="B125" s="134">
        <f>ROW(B121)</f>
        <v>121</v>
      </c>
      <c r="C125" s="10" t="s">
        <v>219</v>
      </c>
      <c r="D125" s="13" t="s">
        <v>220</v>
      </c>
      <c r="E125" s="979">
        <f>Tabelle166[[#Totals],[Beträge/Budget]]</f>
        <v>7450</v>
      </c>
      <c r="F125" s="860">
        <v>5050.2180000000008</v>
      </c>
      <c r="G125" s="21">
        <f>Tabelle16[[#Totals],[Beträge/Budget]]</f>
        <v>7950</v>
      </c>
      <c r="H125" s="21">
        <v>6100</v>
      </c>
      <c r="I125" s="664">
        <v>6482.42</v>
      </c>
      <c r="J125" s="21"/>
      <c r="K125" s="21"/>
      <c r="L125" s="21">
        <f>(HHJ_2022_2023!H75*0.4)+HHJ_2022_2023!H68</f>
        <v>410.84399999999999</v>
      </c>
      <c r="M125" s="21">
        <f>(HHJ_2022_2023!J75*0.4)+HHJ_2022_2023!J68</f>
        <v>864.08400000000006</v>
      </c>
      <c r="N125" s="21">
        <f>(HHJ_2022_2023!L75*0.4)+HHJ_2022_2023!L68</f>
        <v>871.21400000000006</v>
      </c>
      <c r="O125" s="14"/>
      <c r="R125" s="6"/>
    </row>
    <row r="126" spans="1:18" outlineLevel="1" x14ac:dyDescent="0.2">
      <c r="B126" s="131" t="e">
        <f>ROW(#REF!)</f>
        <v>#REF!</v>
      </c>
      <c r="F126" s="25"/>
      <c r="J126" s="14"/>
      <c r="K126" s="14"/>
      <c r="L126" s="14"/>
      <c r="M126" s="14"/>
      <c r="N126" s="14"/>
      <c r="O126" s="14"/>
      <c r="Q126" s="6"/>
      <c r="R126" s="6"/>
    </row>
    <row r="127" spans="1:18" outlineLevel="1" x14ac:dyDescent="0.2">
      <c r="A127" s="181" t="s">
        <v>221</v>
      </c>
      <c r="B127" s="133">
        <f t="shared" si="27"/>
        <v>122</v>
      </c>
      <c r="C127" s="9"/>
      <c r="D127" s="9" t="s">
        <v>222</v>
      </c>
      <c r="E127" s="20">
        <f>SUBTOTAL(9,E128:E130)</f>
        <v>14000</v>
      </c>
      <c r="F127" s="665">
        <v>2243.9899999999998</v>
      </c>
      <c r="G127" s="20">
        <f>SUBTOTAL(9,G128:G130)</f>
        <v>13000</v>
      </c>
      <c r="H127" s="20">
        <f>SUBTOTAL(9,H128:H130)</f>
        <v>1700</v>
      </c>
      <c r="I127" s="20">
        <f>SUBTOTAL(9,I128:I130)</f>
        <v>2179.1</v>
      </c>
      <c r="J127" s="20"/>
      <c r="K127" s="20"/>
      <c r="L127" s="20">
        <f>SUBTOTAL(9,L128:L130)</f>
        <v>0</v>
      </c>
      <c r="M127" s="20">
        <f>SUBTOTAL(9,M128:M130)</f>
        <v>0</v>
      </c>
      <c r="N127" s="20">
        <f>SUBTOTAL(9,N128:N130)</f>
        <v>0</v>
      </c>
      <c r="O127" s="14"/>
      <c r="R127" s="6"/>
    </row>
    <row r="128" spans="1:18" outlineLevel="2" x14ac:dyDescent="0.2">
      <c r="A128" s="182" t="s">
        <v>223</v>
      </c>
      <c r="B128" s="134">
        <f t="shared" ref="B128:B182" si="32">ROW(B123)</f>
        <v>123</v>
      </c>
      <c r="C128" s="10" t="s">
        <v>224</v>
      </c>
      <c r="D128" s="13" t="s">
        <v>225</v>
      </c>
      <c r="E128" s="980">
        <f>Tabelle285319[[#Totals],[Betrag]]</f>
        <v>8000</v>
      </c>
      <c r="F128" s="860">
        <v>0</v>
      </c>
      <c r="G128" s="21">
        <f>Tabelle2853[[#Totals],[Betrag]]</f>
        <v>7000</v>
      </c>
      <c r="H128" s="21">
        <f>Tabelle28[[#Totals],[Betrag]]</f>
        <v>700</v>
      </c>
      <c r="I128" s="664">
        <v>0</v>
      </c>
      <c r="J128" s="21"/>
      <c r="K128" s="21"/>
      <c r="L128" s="21">
        <f>HHJ_2022_2023!H72+HHJ_2022_2023!H73</f>
        <v>0</v>
      </c>
      <c r="M128" s="21">
        <f>HHJ_2022_2023!J72+HHJ_2022_2023!J73</f>
        <v>0</v>
      </c>
      <c r="N128" s="21">
        <f>HHJ_2022_2023!L72+HHJ_2022_2023!L73</f>
        <v>0</v>
      </c>
      <c r="O128" s="14"/>
      <c r="Q128" s="6"/>
      <c r="R128" s="6"/>
    </row>
    <row r="129" spans="1:18" outlineLevel="2" x14ac:dyDescent="0.2">
      <c r="A129" s="182" t="s">
        <v>226</v>
      </c>
      <c r="B129" s="134">
        <f t="shared" si="32"/>
        <v>124</v>
      </c>
      <c r="C129" s="10" t="s">
        <v>227</v>
      </c>
      <c r="D129" s="13" t="s">
        <v>228</v>
      </c>
      <c r="E129" s="980">
        <f>Tabelle25212[[#Totals],[Betrag]]</f>
        <v>5500</v>
      </c>
      <c r="F129" s="860">
        <v>2034.24</v>
      </c>
      <c r="G129" s="21">
        <f>Tabelle252[[#Totals],[Betrag]]</f>
        <v>5500</v>
      </c>
      <c r="H129" s="21">
        <f>Tabelle2[[#Totals],[Betrag]]</f>
        <v>500</v>
      </c>
      <c r="I129" s="664">
        <v>2053.25</v>
      </c>
      <c r="J129" s="21"/>
      <c r="K129" s="21"/>
      <c r="L129" s="21">
        <f>HHJ_2022_2023!H71</f>
        <v>0</v>
      </c>
      <c r="M129" s="21">
        <f>HHJ_2022_2023!J71</f>
        <v>0</v>
      </c>
      <c r="N129" s="21">
        <f>HHJ_2022_2023!L71</f>
        <v>0</v>
      </c>
      <c r="O129" s="14"/>
      <c r="R129" s="6"/>
    </row>
    <row r="130" spans="1:18" outlineLevel="2" x14ac:dyDescent="0.2">
      <c r="A130" s="182" t="s">
        <v>229</v>
      </c>
      <c r="B130" s="134">
        <f>ROW(B126)</f>
        <v>126</v>
      </c>
      <c r="C130" s="10" t="s">
        <v>230</v>
      </c>
      <c r="D130" s="13" t="s">
        <v>231</v>
      </c>
      <c r="E130" s="980">
        <f>Tabelle21112165635[[#Totals],[Betrag]]</f>
        <v>500</v>
      </c>
      <c r="F130" s="860">
        <v>209.75</v>
      </c>
      <c r="G130" s="21">
        <f>Tabelle211121656[[#Totals],[Betrag]]</f>
        <v>500</v>
      </c>
      <c r="H130" s="21">
        <f>Tabelle2111216[[#Totals],[Betrag]]</f>
        <v>500</v>
      </c>
      <c r="I130" s="664">
        <v>125.85</v>
      </c>
      <c r="J130" s="21"/>
      <c r="K130" s="21"/>
      <c r="L130" s="21">
        <f>HHJ_2022_2023!H76</f>
        <v>0</v>
      </c>
      <c r="M130" s="21">
        <f>HHJ_2022_2023!J76</f>
        <v>0</v>
      </c>
      <c r="N130" s="21">
        <f>HHJ_2022_2023!L76</f>
        <v>0</v>
      </c>
      <c r="O130" s="14"/>
      <c r="Q130" s="6"/>
      <c r="R130" s="6"/>
    </row>
    <row r="131" spans="1:18" outlineLevel="1" x14ac:dyDescent="0.2">
      <c r="B131" s="131" t="e">
        <f>ROW(#REF!)</f>
        <v>#REF!</v>
      </c>
      <c r="F131" s="25"/>
      <c r="J131" s="14"/>
      <c r="K131" s="14"/>
      <c r="L131" s="14"/>
      <c r="M131" s="14"/>
      <c r="N131" s="14"/>
      <c r="O131" s="14"/>
      <c r="R131" s="6"/>
    </row>
    <row r="132" spans="1:18" outlineLevel="1" x14ac:dyDescent="0.2">
      <c r="A132" s="181" t="s">
        <v>232</v>
      </c>
      <c r="B132" s="133" t="e">
        <f>ROW(#REF!)</f>
        <v>#REF!</v>
      </c>
      <c r="C132" s="9"/>
      <c r="D132" s="9" t="s">
        <v>233</v>
      </c>
      <c r="E132" s="20">
        <f>SUBTOTAL(9,E133:E142)</f>
        <v>90570</v>
      </c>
      <c r="F132" s="665">
        <v>26565.440000000006</v>
      </c>
      <c r="G132" s="20">
        <f>SUBTOTAL(9,G133:G142)</f>
        <v>82770</v>
      </c>
      <c r="H132" s="20">
        <f>SUBTOTAL(9,H133:H142)</f>
        <v>82900</v>
      </c>
      <c r="I132" s="20">
        <f>SUBTOTAL(9,I133:I142)</f>
        <v>27831.1</v>
      </c>
      <c r="J132" s="20"/>
      <c r="K132" s="20"/>
      <c r="L132" s="20">
        <f>SUBTOTAL(9,L133:L142)</f>
        <v>697.3</v>
      </c>
      <c r="M132" s="20">
        <f>SUBTOTAL(9,M133:M142)</f>
        <v>2543.9</v>
      </c>
      <c r="N132" s="20">
        <f>SUBTOTAL(9,N133:N142)</f>
        <v>5491.72</v>
      </c>
      <c r="O132" s="14"/>
      <c r="Q132" s="6"/>
      <c r="R132" s="6"/>
    </row>
    <row r="133" spans="1:18" outlineLevel="2" x14ac:dyDescent="0.2">
      <c r="A133" s="182" t="s">
        <v>234</v>
      </c>
      <c r="B133" s="134" t="e">
        <f>ROW(#REF!)</f>
        <v>#REF!</v>
      </c>
      <c r="C133" s="10" t="s">
        <v>235</v>
      </c>
      <c r="D133" s="10" t="s">
        <v>236</v>
      </c>
      <c r="E133" s="979">
        <v>2000</v>
      </c>
      <c r="F133" s="853">
        <v>1131.7</v>
      </c>
      <c r="G133" s="21">
        <v>2000</v>
      </c>
      <c r="H133" s="21">
        <v>1600</v>
      </c>
      <c r="I133" s="664">
        <v>296</v>
      </c>
      <c r="J133" s="21"/>
      <c r="K133" s="21"/>
      <c r="L133" s="21">
        <f>HHJ_2022_2023!H116+HHJ_2022_2023!H117</f>
        <v>0</v>
      </c>
      <c r="M133" s="21">
        <f>HHJ_2022_2023!J116+HHJ_2022_2023!J117</f>
        <v>9</v>
      </c>
      <c r="N133" s="21">
        <f>HHJ_2022_2023!L116+HHJ_2022_2023!L117</f>
        <v>9</v>
      </c>
      <c r="O133" s="14"/>
      <c r="R133" s="6"/>
    </row>
    <row r="134" spans="1:18" outlineLevel="2" x14ac:dyDescent="0.2">
      <c r="A134" s="182" t="s">
        <v>237</v>
      </c>
      <c r="B134" s="134" t="e">
        <f>ROW(#REF!)</f>
        <v>#REF!</v>
      </c>
      <c r="C134" s="10" t="s">
        <v>238</v>
      </c>
      <c r="D134" s="10" t="s">
        <v>1200</v>
      </c>
      <c r="E134" s="979">
        <v>32000</v>
      </c>
      <c r="F134" s="853">
        <v>14028.8</v>
      </c>
      <c r="G134" s="21">
        <v>30000</v>
      </c>
      <c r="H134" s="21">
        <v>32500</v>
      </c>
      <c r="I134" s="664">
        <v>10222.02</v>
      </c>
      <c r="J134" s="21"/>
      <c r="K134" s="21"/>
      <c r="L134" s="21">
        <f>HHJ_2022_2023!H95+HHJ_2022_2023!H98+HHJ_2022_2023!H101</f>
        <v>500</v>
      </c>
      <c r="M134" s="21">
        <f>HHJ_2022_2023!J95+HHJ_2022_2023!J98+HHJ_2022_2023!J101</f>
        <v>1044.55</v>
      </c>
      <c r="N134" s="21">
        <f>HHJ_2022_2023!L95+HHJ_2022_2023!L98+HHJ_2022_2023!L101</f>
        <v>2380.54</v>
      </c>
      <c r="O134" s="14"/>
      <c r="Q134" s="6"/>
      <c r="R134" s="6"/>
    </row>
    <row r="135" spans="1:18" outlineLevel="2" x14ac:dyDescent="0.2">
      <c r="A135" s="182" t="s">
        <v>239</v>
      </c>
      <c r="B135" s="134" t="e">
        <f>ROW(#REF!)</f>
        <v>#REF!</v>
      </c>
      <c r="C135" s="10" t="s">
        <v>240</v>
      </c>
      <c r="D135" s="13" t="s">
        <v>241</v>
      </c>
      <c r="E135" s="980">
        <f>Referatspläne!D4</f>
        <v>26000</v>
      </c>
      <c r="F135" s="860">
        <v>4622.6499999999996</v>
      </c>
      <c r="G135" s="21">
        <v>16800</v>
      </c>
      <c r="H135" s="21">
        <f>Referatspläne!D2</f>
        <v>17800</v>
      </c>
      <c r="I135" s="664">
        <v>3686.11</v>
      </c>
      <c r="J135" s="21"/>
      <c r="K135" s="21"/>
      <c r="L135" s="21">
        <f>HHJ_2022_2023!H105+HHJ_2022_2023!H109+HHJ_2022_2023!H112+HHJ_2022_2023!H133+HHJ_2022_2023!H152+HHJ_2022_2023!H160+HHJ_2022_2023!H170+HHJ_2022_2023!H184</f>
        <v>128.30000000000001</v>
      </c>
      <c r="M135" s="21">
        <f>HHJ_2022_2023!J105+HHJ_2022_2023!J109+HHJ_2022_2023!J112+HHJ_2022_2023!J133+HHJ_2022_2023!J152+HHJ_2022_2023!J160+HHJ_2022_2023!J170+HHJ_2022_2023!J184</f>
        <v>369.7</v>
      </c>
      <c r="N135" s="21">
        <f>HHJ_2022_2023!L105+HHJ_2022_2023!L109+HHJ_2022_2023!L112+HHJ_2022_2023!L133+HHJ_2022_2023!L152+HHJ_2022_2023!L160+HHJ_2022_2023!L170+HHJ_2022_2023!L184</f>
        <v>449.5</v>
      </c>
      <c r="O135" s="14"/>
      <c r="R135" s="6"/>
    </row>
    <row r="136" spans="1:18" outlineLevel="2" x14ac:dyDescent="0.2">
      <c r="A136" s="182" t="s">
        <v>242</v>
      </c>
      <c r="B136" s="134">
        <f t="shared" si="32"/>
        <v>131</v>
      </c>
      <c r="C136" s="10"/>
      <c r="D136" s="10" t="s">
        <v>243</v>
      </c>
      <c r="E136" s="662">
        <f>SUBTOTAL(9,E137:E141)</f>
        <v>27570</v>
      </c>
      <c r="F136" s="856">
        <v>6332.79</v>
      </c>
      <c r="G136" s="662">
        <f>SUBTOTAL(9,G137:G141)</f>
        <v>30970</v>
      </c>
      <c r="H136" s="662">
        <f>SUBTOTAL(9,H137:H141)</f>
        <v>28500</v>
      </c>
      <c r="I136" s="662">
        <f>SUBTOTAL(9,I137:I141)</f>
        <v>12015.11</v>
      </c>
      <c r="J136" s="21"/>
      <c r="K136" s="21"/>
      <c r="L136" s="662">
        <f>SUBTOTAL(9,L137:L141)</f>
        <v>69</v>
      </c>
      <c r="M136" s="662">
        <f>SUBTOTAL(9,M137:M141)</f>
        <v>608.29999999999995</v>
      </c>
      <c r="N136" s="662">
        <f>SUBTOTAL(9,N137:N141)</f>
        <v>2140.33</v>
      </c>
      <c r="O136" s="14"/>
      <c r="Q136" s="6"/>
      <c r="R136" s="6"/>
    </row>
    <row r="137" spans="1:18" outlineLevel="3" x14ac:dyDescent="0.2">
      <c r="A137" s="183" t="s">
        <v>244</v>
      </c>
      <c r="B137" s="135">
        <f t="shared" si="32"/>
        <v>132</v>
      </c>
      <c r="C137" s="10" t="s">
        <v>245</v>
      </c>
      <c r="D137" s="13" t="s">
        <v>70</v>
      </c>
      <c r="E137" s="21">
        <f>WiWi!E12</f>
        <v>15000</v>
      </c>
      <c r="F137" s="860">
        <v>2370.9</v>
      </c>
      <c r="G137" s="21">
        <f>WiWi!G12</f>
        <v>15000</v>
      </c>
      <c r="H137" s="21">
        <f>[1]WiWi!G12</f>
        <v>14000</v>
      </c>
      <c r="I137" s="664">
        <f>WiWi!J12</f>
        <v>8591.16</v>
      </c>
      <c r="J137" s="21"/>
      <c r="K137" s="21"/>
      <c r="L137" s="21">
        <f>HHJ_2022_2023!H200</f>
        <v>0</v>
      </c>
      <c r="M137" s="21">
        <f>HHJ_2022_2023!J200</f>
        <v>294.89999999999998</v>
      </c>
      <c r="N137" s="21">
        <f>HHJ_2022_2023!L200</f>
        <v>1022.85</v>
      </c>
      <c r="O137" s="14"/>
      <c r="R137" s="6"/>
    </row>
    <row r="138" spans="1:18" outlineLevel="3" x14ac:dyDescent="0.2">
      <c r="A138" s="183" t="s">
        <v>246</v>
      </c>
      <c r="B138" s="135">
        <f t="shared" si="32"/>
        <v>133</v>
      </c>
      <c r="C138" s="10" t="s">
        <v>247</v>
      </c>
      <c r="D138" s="13" t="s">
        <v>72</v>
      </c>
      <c r="E138" s="21">
        <f>KSW!E12</f>
        <v>3570</v>
      </c>
      <c r="F138" s="860">
        <v>799.08</v>
      </c>
      <c r="G138" s="21">
        <f>KSW!G12</f>
        <v>3570</v>
      </c>
      <c r="H138" s="21">
        <f>KSW!I12</f>
        <v>1000</v>
      </c>
      <c r="I138" s="664">
        <f>KSW!J12</f>
        <v>501.44</v>
      </c>
      <c r="J138" s="21"/>
      <c r="K138" s="21"/>
      <c r="L138" s="21">
        <f>HHJ_2022_2023!H210</f>
        <v>69</v>
      </c>
      <c r="M138" s="21">
        <f>HHJ_2022_2023!J210</f>
        <v>146</v>
      </c>
      <c r="N138" s="21">
        <f>HHJ_2022_2023!L210</f>
        <v>146</v>
      </c>
      <c r="O138" s="14"/>
      <c r="Q138" s="6"/>
      <c r="R138" s="6"/>
    </row>
    <row r="139" spans="1:18" outlineLevel="3" x14ac:dyDescent="0.2">
      <c r="A139" s="183" t="s">
        <v>248</v>
      </c>
      <c r="B139" s="135">
        <f t="shared" si="32"/>
        <v>134</v>
      </c>
      <c r="C139" s="10" t="s">
        <v>249</v>
      </c>
      <c r="D139" s="13" t="s">
        <v>75</v>
      </c>
      <c r="E139" s="21">
        <f>PSY!E12</f>
        <v>2000</v>
      </c>
      <c r="F139" s="860">
        <v>1081.3800000000001</v>
      </c>
      <c r="G139" s="21">
        <f>PSY!G12</f>
        <v>2600</v>
      </c>
      <c r="H139" s="21">
        <f>PSY!I12</f>
        <v>1500</v>
      </c>
      <c r="I139" s="664">
        <f>PSY!J12</f>
        <v>897.76</v>
      </c>
      <c r="J139" s="21"/>
      <c r="K139" s="21"/>
      <c r="L139" s="21">
        <f>HHJ_2022_2023!H220</f>
        <v>0</v>
      </c>
      <c r="M139" s="21">
        <f>HHJ_2022_2023!J220</f>
        <v>167.4</v>
      </c>
      <c r="N139" s="21">
        <f>HHJ_2022_2023!L220</f>
        <v>787.43</v>
      </c>
      <c r="O139" s="14"/>
      <c r="R139" s="6"/>
    </row>
    <row r="140" spans="1:18" outlineLevel="3" x14ac:dyDescent="0.2">
      <c r="A140" s="183" t="s">
        <v>250</v>
      </c>
      <c r="B140" s="135">
        <f t="shared" si="32"/>
        <v>135</v>
      </c>
      <c r="C140" s="10" t="s">
        <v>251</v>
      </c>
      <c r="D140" s="13" t="s">
        <v>78</v>
      </c>
      <c r="E140" s="21">
        <f>ReWi!E12</f>
        <v>4000</v>
      </c>
      <c r="F140" s="860">
        <v>1900.73</v>
      </c>
      <c r="G140" s="21">
        <f>ReWi!G12</f>
        <v>7800</v>
      </c>
      <c r="H140" s="21">
        <f>ReWi!I12</f>
        <v>8000</v>
      </c>
      <c r="I140" s="664">
        <f>ReWi!J12</f>
        <v>1852.7</v>
      </c>
      <c r="J140" s="21"/>
      <c r="K140" s="21"/>
      <c r="L140" s="21">
        <f>HHJ_2022_2023!H230</f>
        <v>0</v>
      </c>
      <c r="M140" s="21">
        <f>HHJ_2022_2023!J230</f>
        <v>0</v>
      </c>
      <c r="N140" s="21">
        <f>HHJ_2022_2023!L230</f>
        <v>184.05</v>
      </c>
      <c r="O140" s="14"/>
      <c r="Q140" s="6"/>
      <c r="R140" s="6"/>
    </row>
    <row r="141" spans="1:18" outlineLevel="3" x14ac:dyDescent="0.2">
      <c r="A141" s="183" t="s">
        <v>252</v>
      </c>
      <c r="B141" s="135">
        <f t="shared" si="32"/>
        <v>136</v>
      </c>
      <c r="C141" s="10" t="s">
        <v>253</v>
      </c>
      <c r="D141" s="13" t="s">
        <v>80</v>
      </c>
      <c r="E141" s="21">
        <f>M_I!E12</f>
        <v>3000</v>
      </c>
      <c r="F141" s="860">
        <v>180.7</v>
      </c>
      <c r="G141" s="21">
        <f>M_I!G12</f>
        <v>2000</v>
      </c>
      <c r="H141" s="21">
        <f>M_I!I12</f>
        <v>4000</v>
      </c>
      <c r="I141" s="664">
        <f>M_I!J12</f>
        <v>172.05</v>
      </c>
      <c r="J141" s="21"/>
      <c r="K141" s="21"/>
      <c r="L141" s="21">
        <f>HHJ_2022_2023!H240</f>
        <v>0</v>
      </c>
      <c r="M141" s="21">
        <f>HHJ_2022_2023!J240</f>
        <v>0</v>
      </c>
      <c r="N141" s="21">
        <f>HHJ_2022_2023!L240</f>
        <v>0</v>
      </c>
      <c r="O141" s="14"/>
      <c r="R141" s="6"/>
    </row>
    <row r="142" spans="1:18" outlineLevel="2" x14ac:dyDescent="0.2">
      <c r="A142" s="182" t="s">
        <v>254</v>
      </c>
      <c r="B142" s="134">
        <f t="shared" si="32"/>
        <v>137</v>
      </c>
      <c r="C142" s="10" t="s">
        <v>255</v>
      </c>
      <c r="D142" s="10" t="s">
        <v>256</v>
      </c>
      <c r="E142" s="21">
        <v>3000</v>
      </c>
      <c r="F142" s="853">
        <v>449.5</v>
      </c>
      <c r="G142" s="21">
        <v>3000</v>
      </c>
      <c r="H142" s="21">
        <v>2500</v>
      </c>
      <c r="I142" s="664">
        <v>1611.86</v>
      </c>
      <c r="J142" s="21"/>
      <c r="K142" s="21"/>
      <c r="L142" s="21">
        <f>HHJ_2022_2023!H193</f>
        <v>0</v>
      </c>
      <c r="M142" s="21">
        <f>HHJ_2022_2023!J193</f>
        <v>512.35</v>
      </c>
      <c r="N142" s="21">
        <f>HHJ_2022_2023!L193</f>
        <v>512.35</v>
      </c>
      <c r="O142" s="14"/>
      <c r="Q142" s="6"/>
      <c r="R142" s="6"/>
    </row>
    <row r="143" spans="1:18" outlineLevel="1" x14ac:dyDescent="0.2">
      <c r="B143" s="131">
        <f t="shared" si="32"/>
        <v>138</v>
      </c>
      <c r="F143" s="25"/>
      <c r="J143" s="14"/>
      <c r="K143" s="14"/>
      <c r="L143" s="14"/>
      <c r="M143" s="14"/>
      <c r="N143" s="14"/>
      <c r="O143" s="14"/>
      <c r="R143" s="6"/>
    </row>
    <row r="144" spans="1:18" outlineLevel="1" x14ac:dyDescent="0.2">
      <c r="A144" s="181" t="s">
        <v>257</v>
      </c>
      <c r="B144" s="133">
        <f t="shared" si="32"/>
        <v>139</v>
      </c>
      <c r="C144" s="9"/>
      <c r="D144" s="9" t="s">
        <v>258</v>
      </c>
      <c r="E144" s="20">
        <f>SUBTOTAL(9,E145:E154)</f>
        <v>30776</v>
      </c>
      <c r="F144" s="665">
        <v>11622.71</v>
      </c>
      <c r="G144" s="20">
        <f>SUBTOTAL(9,G145:G154)</f>
        <v>43070</v>
      </c>
      <c r="H144" s="20">
        <f>SUBTOTAL(9,H145:H154)</f>
        <v>24810</v>
      </c>
      <c r="I144" s="20">
        <f>SUBTOTAL(9,I145:I154)</f>
        <v>9119.1999999999989</v>
      </c>
      <c r="J144" s="20"/>
      <c r="K144" s="20"/>
      <c r="L144" s="20">
        <f>SUBTOTAL(9,L145:L154)</f>
        <v>216</v>
      </c>
      <c r="M144" s="20">
        <f>SUBTOTAL(9,M145:M154)</f>
        <v>2204.8000000000002</v>
      </c>
      <c r="N144" s="20">
        <f>SUBTOTAL(9,N145:N154)</f>
        <v>3106.76</v>
      </c>
      <c r="O144" s="14"/>
      <c r="Q144" s="6"/>
      <c r="R144" s="6"/>
    </row>
    <row r="145" spans="1:22" outlineLevel="2" x14ac:dyDescent="0.2">
      <c r="A145" s="182" t="s">
        <v>259</v>
      </c>
      <c r="B145" s="134">
        <f t="shared" si="32"/>
        <v>140</v>
      </c>
      <c r="C145" s="10" t="s">
        <v>41</v>
      </c>
      <c r="D145" s="10" t="s">
        <v>236</v>
      </c>
      <c r="E145" s="21">
        <v>500</v>
      </c>
      <c r="F145" s="853"/>
      <c r="G145" s="21">
        <v>500</v>
      </c>
      <c r="H145" s="21">
        <v>0</v>
      </c>
      <c r="I145" s="21">
        <v>0</v>
      </c>
      <c r="J145" s="21"/>
      <c r="K145" s="21"/>
      <c r="L145" s="21"/>
      <c r="M145" s="21"/>
      <c r="N145" s="21"/>
      <c r="O145" s="14"/>
      <c r="R145" s="6"/>
    </row>
    <row r="146" spans="1:22" outlineLevel="2" x14ac:dyDescent="0.2">
      <c r="A146" s="182" t="s">
        <v>260</v>
      </c>
      <c r="B146" s="134">
        <f t="shared" si="32"/>
        <v>141</v>
      </c>
      <c r="C146" s="10" t="s">
        <v>261</v>
      </c>
      <c r="D146" s="10" t="s">
        <v>262</v>
      </c>
      <c r="E146" s="21">
        <v>15000</v>
      </c>
      <c r="F146" s="853">
        <v>7333.5</v>
      </c>
      <c r="G146" s="21">
        <v>13000</v>
      </c>
      <c r="H146" s="21">
        <v>10350</v>
      </c>
      <c r="I146" s="664">
        <v>4807.57</v>
      </c>
      <c r="J146" s="21"/>
      <c r="K146" s="21"/>
      <c r="L146" s="21">
        <f>HHJ_2022_2023!H96+HHJ_2022_2023!H97+HHJ_2022_2023!H99+HHJ_2022_2023!H100+HHJ_2022_2023!H102+HHJ_2022_2023!H103</f>
        <v>0</v>
      </c>
      <c r="M146" s="21">
        <f>HHJ_2022_2023!J96+HHJ_2022_2023!J97+HHJ_2022_2023!J99+HHJ_2022_2023!J100+HHJ_2022_2023!J102+HHJ_2022_2023!J103</f>
        <v>1572.8</v>
      </c>
      <c r="N146" s="21">
        <f>HHJ_2022_2023!L96+HHJ_2022_2023!L97+HHJ_2022_2023!L99+HHJ_2022_2023!L100+HHJ_2022_2023!L102+HHJ_2022_2023!L103</f>
        <v>1764.8</v>
      </c>
      <c r="O146" s="14"/>
      <c r="Q146" s="6"/>
      <c r="R146" s="6"/>
    </row>
    <row r="147" spans="1:22" outlineLevel="2" x14ac:dyDescent="0.2">
      <c r="A147" s="182" t="s">
        <v>263</v>
      </c>
      <c r="B147" s="134">
        <f t="shared" si="32"/>
        <v>142</v>
      </c>
      <c r="C147" s="10" t="s">
        <v>264</v>
      </c>
      <c r="D147" s="13" t="s">
        <v>265</v>
      </c>
      <c r="E147" s="980">
        <f>Referatspläne!I4</f>
        <v>2206</v>
      </c>
      <c r="F147" s="860">
        <v>1502.85</v>
      </c>
      <c r="G147" s="21">
        <v>16250</v>
      </c>
      <c r="H147" s="21">
        <f>Referatspläne!H2</f>
        <v>5960</v>
      </c>
      <c r="I147" s="664">
        <v>1551.23</v>
      </c>
      <c r="J147" s="21"/>
      <c r="K147" s="21"/>
      <c r="L147" s="21">
        <f>HHJ_2022_2023!H106+HHJ_2022_2023!H107+HHJ_2022_2023!H110+HHJ_2022_2023!H111+HHJ_2022_2023!H113+HHJ_2022_2023!H114+HHJ_2022_2023!H172+HHJ_2022_2023!H186</f>
        <v>64</v>
      </c>
      <c r="M147" s="21">
        <f>HHJ_2022_2023!J106+HHJ_2022_2023!J107+HHJ_2022_2023!J110+HHJ_2022_2023!J111+HHJ_2022_2023!J113+HHJ_2022_2023!J114+HHJ_2022_2023!J172+HHJ_2022_2023!J186</f>
        <v>160</v>
      </c>
      <c r="N147" s="21">
        <f>HHJ_2022_2023!L106+HHJ_2022_2023!L107+HHJ_2022_2023!L110+HHJ_2022_2023!L111+HHJ_2022_2023!L113+HHJ_2022_2023!L114+HHJ_2022_2023!L172+HHJ_2022_2023!L186</f>
        <v>256</v>
      </c>
      <c r="O147" s="14"/>
      <c r="R147" s="6"/>
    </row>
    <row r="148" spans="1:22" outlineLevel="2" x14ac:dyDescent="0.2">
      <c r="A148" s="182" t="s">
        <v>266</v>
      </c>
      <c r="B148" s="134">
        <f t="shared" si="32"/>
        <v>143</v>
      </c>
      <c r="C148" s="10"/>
      <c r="D148" s="10" t="s">
        <v>267</v>
      </c>
      <c r="E148" s="662">
        <f>SUBTOTAL(9,E149:E153)</f>
        <v>11070</v>
      </c>
      <c r="F148" s="856">
        <v>2466.36</v>
      </c>
      <c r="G148" s="662">
        <f>SUBTOTAL(9,G149:G153)</f>
        <v>11320</v>
      </c>
      <c r="H148" s="662">
        <f>SUBTOTAL(9,H149:H153)</f>
        <v>7000</v>
      </c>
      <c r="I148" s="662">
        <f>SUBTOTAL(9,I149:I153)</f>
        <v>2117.4</v>
      </c>
      <c r="J148" s="21"/>
      <c r="K148" s="21"/>
      <c r="L148" s="662">
        <f>SUBTOTAL(9,L149:L153)</f>
        <v>152</v>
      </c>
      <c r="M148" s="662">
        <f>SUBTOTAL(9,M149:M153)</f>
        <v>152</v>
      </c>
      <c r="N148" s="662">
        <f>SUBTOTAL(9,N149:N153)</f>
        <v>765.96</v>
      </c>
      <c r="O148" s="14"/>
      <c r="Q148" s="6"/>
      <c r="R148" s="6"/>
    </row>
    <row r="149" spans="1:22" outlineLevel="3" x14ac:dyDescent="0.2">
      <c r="A149" s="183" t="s">
        <v>268</v>
      </c>
      <c r="B149" s="135">
        <f t="shared" si="32"/>
        <v>144</v>
      </c>
      <c r="C149" s="10" t="s">
        <v>269</v>
      </c>
      <c r="D149" s="13" t="s">
        <v>270</v>
      </c>
      <c r="E149" s="21">
        <f>WiWi!E13</f>
        <v>3000</v>
      </c>
      <c r="F149" s="860">
        <v>1032.4000000000001</v>
      </c>
      <c r="G149" s="21">
        <f>WiWi!G13</f>
        <v>4200</v>
      </c>
      <c r="H149" s="21">
        <f>WiWi!I13</f>
        <v>3000</v>
      </c>
      <c r="I149" s="664">
        <f>WiWi!J13</f>
        <v>1120</v>
      </c>
      <c r="J149" s="21"/>
      <c r="K149" s="21"/>
      <c r="L149" s="21">
        <f>HHJ_2022_2023!H202</f>
        <v>0</v>
      </c>
      <c r="M149" s="21">
        <f>HHJ_2022_2023!J202</f>
        <v>0</v>
      </c>
      <c r="N149" s="21">
        <f>HHJ_2022_2023!L202</f>
        <v>130</v>
      </c>
      <c r="O149" s="14"/>
      <c r="R149" s="6"/>
    </row>
    <row r="150" spans="1:22" outlineLevel="3" x14ac:dyDescent="0.2">
      <c r="A150" s="183" t="s">
        <v>271</v>
      </c>
      <c r="B150" s="135">
        <f t="shared" si="32"/>
        <v>145</v>
      </c>
      <c r="C150" s="10" t="s">
        <v>272</v>
      </c>
      <c r="D150" s="13" t="s">
        <v>273</v>
      </c>
      <c r="E150" s="21">
        <f>KSW!E13</f>
        <v>2670</v>
      </c>
      <c r="F150" s="860">
        <v>96</v>
      </c>
      <c r="G150" s="21">
        <f>KSW!G13</f>
        <v>2670</v>
      </c>
      <c r="H150" s="21">
        <f>KSW!I13</f>
        <v>500</v>
      </c>
      <c r="I150" s="664">
        <f>KSW!J13</f>
        <v>302.39999999999998</v>
      </c>
      <c r="J150" s="21"/>
      <c r="K150" s="21"/>
      <c r="L150" s="21">
        <f>HHJ_2022_2023!H212</f>
        <v>0</v>
      </c>
      <c r="M150" s="21">
        <f>HHJ_2022_2023!J212</f>
        <v>0</v>
      </c>
      <c r="N150" s="21">
        <f>HHJ_2022_2023!L212</f>
        <v>0</v>
      </c>
      <c r="O150" s="14"/>
      <c r="Q150" s="6"/>
      <c r="R150" s="6"/>
    </row>
    <row r="151" spans="1:22" outlineLevel="3" x14ac:dyDescent="0.2">
      <c r="A151" s="183" t="s">
        <v>274</v>
      </c>
      <c r="B151" s="135">
        <f t="shared" si="32"/>
        <v>146</v>
      </c>
      <c r="C151" s="10" t="s">
        <v>275</v>
      </c>
      <c r="D151" s="13" t="s">
        <v>276</v>
      </c>
      <c r="E151" s="21">
        <f>PSY!E13</f>
        <v>1400</v>
      </c>
      <c r="F151" s="860">
        <v>266.97000000000003</v>
      </c>
      <c r="G151" s="21">
        <f>PSY!G13</f>
        <v>1600</v>
      </c>
      <c r="H151" s="21">
        <f>PSY!I13</f>
        <v>500</v>
      </c>
      <c r="I151" s="664">
        <f>PSY!J13</f>
        <v>551</v>
      </c>
      <c r="J151" s="21"/>
      <c r="K151" s="21"/>
      <c r="L151" s="21">
        <f>HHJ_2022_2023!H222</f>
        <v>152</v>
      </c>
      <c r="M151" s="21">
        <f>HHJ_2022_2023!J222</f>
        <v>152</v>
      </c>
      <c r="N151" s="21">
        <f>HHJ_2022_2023!L222</f>
        <v>202.97</v>
      </c>
      <c r="O151" s="14"/>
      <c r="R151" s="6"/>
    </row>
    <row r="152" spans="1:22" outlineLevel="3" x14ac:dyDescent="0.2">
      <c r="A152" s="183" t="s">
        <v>277</v>
      </c>
      <c r="B152" s="135">
        <f t="shared" si="32"/>
        <v>147</v>
      </c>
      <c r="C152" s="10" t="s">
        <v>278</v>
      </c>
      <c r="D152" s="13" t="s">
        <v>279</v>
      </c>
      <c r="E152" s="21">
        <f>ReWi!E13</f>
        <v>2500</v>
      </c>
      <c r="F152" s="860">
        <v>1070.99</v>
      </c>
      <c r="G152" s="21">
        <f>ReWi!G13</f>
        <v>1700</v>
      </c>
      <c r="H152" s="21">
        <f>ReWi!I13</f>
        <v>2000</v>
      </c>
      <c r="I152" s="664">
        <f>ReWi!J13</f>
        <v>144</v>
      </c>
      <c r="J152" s="21"/>
      <c r="K152" s="21"/>
      <c r="L152" s="21">
        <f>HHJ_2022_2023!H232</f>
        <v>0</v>
      </c>
      <c r="M152" s="21">
        <f>HHJ_2022_2023!J232</f>
        <v>0</v>
      </c>
      <c r="N152" s="21">
        <f>HHJ_2022_2023!L232</f>
        <v>432.99</v>
      </c>
      <c r="O152" s="14"/>
      <c r="Q152" s="6"/>
      <c r="R152" s="6"/>
    </row>
    <row r="153" spans="1:22" outlineLevel="3" x14ac:dyDescent="0.2">
      <c r="A153" s="183" t="s">
        <v>280</v>
      </c>
      <c r="B153" s="135">
        <f t="shared" si="32"/>
        <v>148</v>
      </c>
      <c r="C153" s="10" t="s">
        <v>281</v>
      </c>
      <c r="D153" s="13" t="s">
        <v>282</v>
      </c>
      <c r="E153" s="21">
        <f>M_I!E13</f>
        <v>1500</v>
      </c>
      <c r="F153" s="860">
        <v>0</v>
      </c>
      <c r="G153" s="21">
        <f>M_I!G13</f>
        <v>1150</v>
      </c>
      <c r="H153" s="21">
        <f>M_I!I13</f>
        <v>1000</v>
      </c>
      <c r="I153" s="664">
        <f>M_I!J13</f>
        <v>0</v>
      </c>
      <c r="J153" s="21"/>
      <c r="K153" s="21"/>
      <c r="L153" s="21">
        <f>HHJ_2022_2023!H242</f>
        <v>0</v>
      </c>
      <c r="M153" s="21">
        <f>HHJ_2022_2023!J242</f>
        <v>0</v>
      </c>
      <c r="N153" s="21">
        <f>HHJ_2022_2023!L242</f>
        <v>0</v>
      </c>
      <c r="O153" s="14"/>
      <c r="R153" s="6"/>
    </row>
    <row r="154" spans="1:22" outlineLevel="2" x14ac:dyDescent="0.2">
      <c r="A154" s="182" t="s">
        <v>283</v>
      </c>
      <c r="B154" s="134">
        <f t="shared" si="32"/>
        <v>149</v>
      </c>
      <c r="C154" s="10" t="s">
        <v>284</v>
      </c>
      <c r="D154" s="10" t="s">
        <v>151</v>
      </c>
      <c r="E154" s="21">
        <v>2000</v>
      </c>
      <c r="F154" s="853">
        <v>320</v>
      </c>
      <c r="G154" s="21">
        <v>2000</v>
      </c>
      <c r="H154" s="21">
        <v>1500</v>
      </c>
      <c r="I154" s="664">
        <v>643</v>
      </c>
      <c r="J154" s="21"/>
      <c r="K154" s="21"/>
      <c r="L154" s="21">
        <f>HHJ_2022_2023!H195</f>
        <v>0</v>
      </c>
      <c r="M154" s="21">
        <f>HHJ_2022_2023!J195</f>
        <v>320</v>
      </c>
      <c r="N154" s="21">
        <f>HHJ_2022_2023!L195</f>
        <v>320</v>
      </c>
      <c r="O154" s="14"/>
      <c r="Q154" s="6"/>
      <c r="R154" s="6"/>
    </row>
    <row r="155" spans="1:22" outlineLevel="1" x14ac:dyDescent="0.2">
      <c r="B155" s="131">
        <f t="shared" si="32"/>
        <v>150</v>
      </c>
      <c r="F155" s="25"/>
      <c r="J155" s="14"/>
      <c r="K155" s="14"/>
      <c r="L155" s="14"/>
      <c r="M155" s="14"/>
      <c r="N155" s="14"/>
      <c r="O155" s="14"/>
      <c r="R155" s="6"/>
    </row>
    <row r="156" spans="1:22" outlineLevel="1" x14ac:dyDescent="0.2">
      <c r="A156" s="181" t="s">
        <v>285</v>
      </c>
      <c r="B156" s="133">
        <f t="shared" si="32"/>
        <v>151</v>
      </c>
      <c r="C156" s="9"/>
      <c r="D156" s="9" t="s">
        <v>286</v>
      </c>
      <c r="E156" s="20">
        <f>SUBTOTAL(9,E157:E166)</f>
        <v>15498</v>
      </c>
      <c r="F156" s="665">
        <v>4652.5739999999996</v>
      </c>
      <c r="G156" s="20">
        <f>SUBTOTAL(9,G157:G166)</f>
        <v>12800</v>
      </c>
      <c r="H156" s="20">
        <f>SUBTOTAL(9,H157:H166)</f>
        <v>6850</v>
      </c>
      <c r="I156" s="20">
        <f>SUBTOTAL(9,I157:I166)</f>
        <v>2694.37</v>
      </c>
      <c r="J156" s="20"/>
      <c r="K156" s="20"/>
      <c r="L156" s="20">
        <f>SUBTOTAL(9,L157:L166)</f>
        <v>60.769999999999996</v>
      </c>
      <c r="M156" s="20">
        <f>SUBTOTAL(9,M157:M166)</f>
        <v>494.76</v>
      </c>
      <c r="N156" s="20">
        <f>SUBTOTAL(9,N157:N166)</f>
        <v>893.44399999999996</v>
      </c>
      <c r="O156" s="14"/>
      <c r="Q156" s="6"/>
      <c r="R156" s="6"/>
    </row>
    <row r="157" spans="1:22" outlineLevel="2" x14ac:dyDescent="0.2">
      <c r="A157" s="182" t="s">
        <v>287</v>
      </c>
      <c r="B157" s="134">
        <f t="shared" si="32"/>
        <v>152</v>
      </c>
      <c r="C157" s="10" t="s">
        <v>260</v>
      </c>
      <c r="D157" s="10" t="s">
        <v>262</v>
      </c>
      <c r="E157" s="21">
        <v>6000</v>
      </c>
      <c r="F157" s="853">
        <v>3595.33</v>
      </c>
      <c r="G157" s="21">
        <v>2500</v>
      </c>
      <c r="H157" s="21">
        <v>2500</v>
      </c>
      <c r="I157" s="664">
        <v>1810.85</v>
      </c>
      <c r="J157" s="21"/>
      <c r="K157" s="21"/>
      <c r="L157" s="21">
        <f>HHJ_2022_2023!H120</f>
        <v>30.38</v>
      </c>
      <c r="M157" s="21">
        <f>HHJ_2022_2023!J120</f>
        <v>173.17</v>
      </c>
      <c r="N157" s="21">
        <f>HHJ_2022_2023!L120</f>
        <v>486.77</v>
      </c>
      <c r="O157" s="14"/>
      <c r="R157" s="6"/>
    </row>
    <row r="158" spans="1:22" outlineLevel="2" x14ac:dyDescent="0.2">
      <c r="A158" s="182" t="s">
        <v>288</v>
      </c>
      <c r="B158" s="134">
        <f t="shared" si="32"/>
        <v>153</v>
      </c>
      <c r="C158" s="10" t="s">
        <v>259</v>
      </c>
      <c r="D158" s="13" t="s">
        <v>289</v>
      </c>
      <c r="E158" s="981">
        <f>Referatspläne!F4</f>
        <v>2548</v>
      </c>
      <c r="F158" s="860">
        <v>856.57</v>
      </c>
      <c r="G158" s="21">
        <v>5050</v>
      </c>
      <c r="H158" s="21">
        <f>Referatspläne!F2</f>
        <v>2500</v>
      </c>
      <c r="I158" s="664">
        <v>732.35</v>
      </c>
      <c r="J158" s="21"/>
      <c r="K158" s="21"/>
      <c r="L158" s="21">
        <f>HHJ_2022_2023!H119</f>
        <v>30.39</v>
      </c>
      <c r="M158" s="21">
        <f>HHJ_2022_2023!J119</f>
        <v>121.59</v>
      </c>
      <c r="N158" s="21">
        <f>HHJ_2022_2023!L119</f>
        <v>206</v>
      </c>
      <c r="O158" s="14"/>
      <c r="P158" s="225"/>
      <c r="Q158" s="6"/>
      <c r="R158" s="6"/>
      <c r="S158" s="225"/>
      <c r="T158" s="225"/>
      <c r="U158" s="225"/>
      <c r="V158" s="225"/>
    </row>
    <row r="159" spans="1:22" outlineLevel="2" x14ac:dyDescent="0.2">
      <c r="A159" s="182" t="s">
        <v>290</v>
      </c>
      <c r="B159" s="134">
        <f t="shared" si="32"/>
        <v>154</v>
      </c>
      <c r="C159" s="10" t="s">
        <v>263</v>
      </c>
      <c r="D159" s="10" t="s">
        <v>291</v>
      </c>
      <c r="E159" s="21">
        <v>1000</v>
      </c>
      <c r="F159" s="853">
        <v>0</v>
      </c>
      <c r="G159" s="21">
        <v>1000</v>
      </c>
      <c r="H159" s="21">
        <v>100</v>
      </c>
      <c r="I159" s="664">
        <v>0</v>
      </c>
      <c r="J159" s="21"/>
      <c r="K159" s="21"/>
      <c r="L159" s="21">
        <f>HHJ_2022_2023!H121</f>
        <v>0</v>
      </c>
      <c r="M159" s="21">
        <f>HHJ_2022_2023!J121</f>
        <v>0</v>
      </c>
      <c r="N159" s="21">
        <f>HHJ_2022_2023!L121</f>
        <v>0</v>
      </c>
      <c r="O159" s="14"/>
      <c r="R159" s="6"/>
    </row>
    <row r="160" spans="1:22" outlineLevel="2" x14ac:dyDescent="0.2">
      <c r="A160" s="182" t="s">
        <v>292</v>
      </c>
      <c r="B160" s="134">
        <f t="shared" si="32"/>
        <v>155</v>
      </c>
      <c r="C160" s="10"/>
      <c r="D160" s="10" t="s">
        <v>293</v>
      </c>
      <c r="E160" s="662">
        <f>SUBTOTAL(9,E161:E165)</f>
        <v>4450</v>
      </c>
      <c r="F160" s="856">
        <v>200.67400000000001</v>
      </c>
      <c r="G160" s="662">
        <f>SUBTOTAL(9,G161:G165)</f>
        <v>3750</v>
      </c>
      <c r="H160" s="662">
        <f>SUBTOTAL(9,H161:H165)</f>
        <v>1550</v>
      </c>
      <c r="I160" s="662">
        <f>SUBTOTAL(9,I161:I165)</f>
        <v>142.19</v>
      </c>
      <c r="J160" s="21"/>
      <c r="K160" s="21"/>
      <c r="L160" s="662">
        <f>SUBTOTAL(9,L161:L165)</f>
        <v>0</v>
      </c>
      <c r="M160" s="662">
        <f>SUBTOTAL(9,M161:M165)</f>
        <v>200</v>
      </c>
      <c r="N160" s="662">
        <f>SUBTOTAL(9,N161:N165)</f>
        <v>200.67400000000001</v>
      </c>
      <c r="O160" s="14"/>
      <c r="Q160" s="6"/>
      <c r="R160" s="6"/>
    </row>
    <row r="161" spans="1:18" outlineLevel="3" x14ac:dyDescent="0.2">
      <c r="A161" s="183" t="s">
        <v>294</v>
      </c>
      <c r="B161" s="135">
        <f t="shared" si="32"/>
        <v>156</v>
      </c>
      <c r="C161" s="10" t="s">
        <v>1182</v>
      </c>
      <c r="D161" s="13" t="s">
        <v>270</v>
      </c>
      <c r="E161" s="21">
        <f>WiWi!E14</f>
        <v>2000</v>
      </c>
      <c r="F161" s="860">
        <v>0.67400000000000004</v>
      </c>
      <c r="G161" s="21">
        <v>1000</v>
      </c>
      <c r="H161" s="21">
        <f>WiWi!I14</f>
        <v>200</v>
      </c>
      <c r="I161" s="664">
        <f>WiWi!J14</f>
        <v>118.19</v>
      </c>
      <c r="J161" s="21"/>
      <c r="K161" s="21"/>
      <c r="L161" s="21">
        <f>HHJ_2022_2023!H203*0.1</f>
        <v>0</v>
      </c>
      <c r="M161" s="21">
        <f>HHJ_2022_2023!J203*0.1</f>
        <v>0</v>
      </c>
      <c r="N161" s="21">
        <f>HHJ_2022_2023!L203*0.1</f>
        <v>0.67400000000000004</v>
      </c>
      <c r="O161" s="14"/>
      <c r="R161" s="6"/>
    </row>
    <row r="162" spans="1:18" outlineLevel="3" x14ac:dyDescent="0.2">
      <c r="A162" s="183" t="s">
        <v>296</v>
      </c>
      <c r="B162" s="135">
        <f t="shared" si="32"/>
        <v>157</v>
      </c>
      <c r="C162" s="10" t="s">
        <v>297</v>
      </c>
      <c r="D162" s="13" t="s">
        <v>273</v>
      </c>
      <c r="E162" s="21">
        <f>KSW!E14</f>
        <v>1200</v>
      </c>
      <c r="F162" s="860">
        <v>0</v>
      </c>
      <c r="G162" s="21">
        <v>1200</v>
      </c>
      <c r="H162" s="21">
        <f>KSW!I14</f>
        <v>100</v>
      </c>
      <c r="I162" s="664">
        <f>KSW!J14</f>
        <v>0</v>
      </c>
      <c r="J162" s="21"/>
      <c r="K162" s="21"/>
      <c r="L162" s="21">
        <f>HHJ_2022_2023!H213</f>
        <v>0</v>
      </c>
      <c r="M162" s="21">
        <f>HHJ_2022_2023!J213</f>
        <v>0</v>
      </c>
      <c r="N162" s="21">
        <f>HHJ_2022_2023!L213</f>
        <v>0</v>
      </c>
      <c r="O162" s="14"/>
      <c r="Q162" s="6"/>
      <c r="R162" s="6"/>
    </row>
    <row r="163" spans="1:18" outlineLevel="3" x14ac:dyDescent="0.2">
      <c r="A163" s="183" t="s">
        <v>298</v>
      </c>
      <c r="B163" s="135">
        <f t="shared" si="32"/>
        <v>158</v>
      </c>
      <c r="C163" s="10" t="s">
        <v>299</v>
      </c>
      <c r="D163" s="13" t="s">
        <v>276</v>
      </c>
      <c r="E163" s="21">
        <f>PSY!E14</f>
        <v>500</v>
      </c>
      <c r="F163" s="860">
        <v>200</v>
      </c>
      <c r="G163" s="21">
        <v>400</v>
      </c>
      <c r="H163" s="21">
        <f>PSY!I14</f>
        <v>500</v>
      </c>
      <c r="I163" s="664">
        <f>PSY!J14</f>
        <v>0</v>
      </c>
      <c r="J163" s="21"/>
      <c r="K163" s="21"/>
      <c r="L163" s="21">
        <f>HHJ_2022_2023!H223</f>
        <v>0</v>
      </c>
      <c r="M163" s="21">
        <f>HHJ_2022_2023!J223</f>
        <v>200</v>
      </c>
      <c r="N163" s="21">
        <f>HHJ_2022_2023!L223</f>
        <v>200</v>
      </c>
      <c r="O163" s="14"/>
      <c r="R163" s="6"/>
    </row>
    <row r="164" spans="1:18" outlineLevel="3" x14ac:dyDescent="0.2">
      <c r="A164" s="183" t="s">
        <v>300</v>
      </c>
      <c r="B164" s="135">
        <f t="shared" si="32"/>
        <v>159</v>
      </c>
      <c r="C164" s="10" t="s">
        <v>301</v>
      </c>
      <c r="D164" s="13" t="s">
        <v>279</v>
      </c>
      <c r="E164" s="21">
        <f>ReWi!E14</f>
        <v>500</v>
      </c>
      <c r="F164" s="860">
        <v>0</v>
      </c>
      <c r="G164" s="21">
        <v>500</v>
      </c>
      <c r="H164" s="21">
        <f>ReWi!I14</f>
        <v>500</v>
      </c>
      <c r="I164" s="664">
        <f>ReWi!J14</f>
        <v>24</v>
      </c>
      <c r="J164" s="21"/>
      <c r="K164" s="21"/>
      <c r="L164" s="21">
        <f>HHJ_2022_2023!H233</f>
        <v>0</v>
      </c>
      <c r="M164" s="21">
        <f>HHJ_2022_2023!J233</f>
        <v>0</v>
      </c>
      <c r="N164" s="21">
        <f>HHJ_2022_2023!L233</f>
        <v>0</v>
      </c>
      <c r="O164" s="14"/>
      <c r="Q164" s="6"/>
      <c r="R164" s="6"/>
    </row>
    <row r="165" spans="1:18" outlineLevel="3" x14ac:dyDescent="0.2">
      <c r="A165" s="183" t="s">
        <v>302</v>
      </c>
      <c r="B165" s="135">
        <f t="shared" si="32"/>
        <v>160</v>
      </c>
      <c r="C165" s="10" t="s">
        <v>303</v>
      </c>
      <c r="D165" s="13" t="s">
        <v>282</v>
      </c>
      <c r="E165" s="21">
        <f>M_I!E14</f>
        <v>250</v>
      </c>
      <c r="F165" s="860">
        <v>0</v>
      </c>
      <c r="G165" s="21">
        <v>650</v>
      </c>
      <c r="H165" s="21">
        <f>M_I!I14</f>
        <v>250</v>
      </c>
      <c r="I165" s="664">
        <f>M_I!J14</f>
        <v>0</v>
      </c>
      <c r="J165" s="21"/>
      <c r="K165" s="21"/>
      <c r="L165" s="21">
        <f>HHJ_2022_2023!H243</f>
        <v>0</v>
      </c>
      <c r="M165" s="21">
        <f>HHJ_2022_2023!J243</f>
        <v>0</v>
      </c>
      <c r="N165" s="21">
        <f>HHJ_2022_2023!L243</f>
        <v>0</v>
      </c>
      <c r="O165" s="14"/>
      <c r="R165" s="6"/>
    </row>
    <row r="166" spans="1:18" outlineLevel="2" x14ac:dyDescent="0.2">
      <c r="A166" s="182" t="s">
        <v>304</v>
      </c>
      <c r="B166" s="134">
        <f t="shared" si="32"/>
        <v>161</v>
      </c>
      <c r="C166" s="10" t="s">
        <v>305</v>
      </c>
      <c r="D166" s="10" t="s">
        <v>151</v>
      </c>
      <c r="E166" s="21">
        <v>1500</v>
      </c>
      <c r="F166" s="853">
        <v>0</v>
      </c>
      <c r="G166" s="21">
        <v>500</v>
      </c>
      <c r="H166" s="21">
        <v>200</v>
      </c>
      <c r="I166" s="664">
        <v>8.98</v>
      </c>
      <c r="J166" s="21"/>
      <c r="K166" s="21"/>
      <c r="L166" s="21">
        <f>HHJ_2022_2023!H196</f>
        <v>0</v>
      </c>
      <c r="M166" s="21">
        <f>HHJ_2022_2023!J196</f>
        <v>0</v>
      </c>
      <c r="N166" s="21">
        <f>HHJ_2022_2023!L196</f>
        <v>0</v>
      </c>
      <c r="O166" s="14"/>
      <c r="Q166" s="6"/>
      <c r="R166" s="6"/>
    </row>
    <row r="167" spans="1:18" outlineLevel="1" x14ac:dyDescent="0.2">
      <c r="B167" s="131">
        <f t="shared" si="32"/>
        <v>162</v>
      </c>
      <c r="F167" s="25"/>
      <c r="J167" s="14"/>
      <c r="K167" s="14"/>
      <c r="L167" s="14"/>
      <c r="M167" s="14"/>
      <c r="N167" s="14"/>
      <c r="O167" s="14"/>
      <c r="R167" s="6"/>
    </row>
    <row r="168" spans="1:18" outlineLevel="1" x14ac:dyDescent="0.2">
      <c r="A168" s="181" t="s">
        <v>306</v>
      </c>
      <c r="B168" s="133">
        <f t="shared" si="32"/>
        <v>163</v>
      </c>
      <c r="C168" s="9"/>
      <c r="D168" s="9" t="s">
        <v>307</v>
      </c>
      <c r="E168" s="20">
        <f>SUBTOTAL(9,E169:E172)</f>
        <v>4000</v>
      </c>
      <c r="F168" s="665">
        <v>560.08000000000004</v>
      </c>
      <c r="G168" s="20">
        <f>SUBTOTAL(9,G169:G172)</f>
        <v>214000</v>
      </c>
      <c r="H168" s="20">
        <f>SUBTOTAL(9,H169:H172)</f>
        <v>364000</v>
      </c>
      <c r="I168" s="20">
        <f>SUBTOTAL(9,I169:I172)</f>
        <v>312651.59999999998</v>
      </c>
      <c r="J168" s="20"/>
      <c r="K168" s="20"/>
      <c r="L168" s="20">
        <f>SUBTOTAL(9,L169:L172)</f>
        <v>0</v>
      </c>
      <c r="M168" s="20">
        <f>SUBTOTAL(9,M169:M172)</f>
        <v>0</v>
      </c>
      <c r="N168" s="20">
        <f>SUBTOTAL(9,N169:N172)</f>
        <v>231.39</v>
      </c>
      <c r="O168" s="14"/>
      <c r="Q168" s="6"/>
      <c r="R168" s="6"/>
    </row>
    <row r="169" spans="1:18" outlineLevel="2" x14ac:dyDescent="0.2">
      <c r="A169" s="182" t="s">
        <v>308</v>
      </c>
      <c r="B169" s="134">
        <f t="shared" si="32"/>
        <v>164</v>
      </c>
      <c r="C169" s="10" t="s">
        <v>287</v>
      </c>
      <c r="D169" s="10" t="s">
        <v>309</v>
      </c>
      <c r="E169" s="21"/>
      <c r="F169" s="853">
        <v>0</v>
      </c>
      <c r="G169" s="21">
        <v>85000</v>
      </c>
      <c r="H169" s="21">
        <v>155000</v>
      </c>
      <c r="I169" s="664">
        <v>126134.02</v>
      </c>
      <c r="J169" s="21"/>
      <c r="K169" s="21"/>
      <c r="L169" s="21">
        <f>HHJ_2022_2023!H123</f>
        <v>0</v>
      </c>
      <c r="M169" s="21">
        <f>HHJ_2022_2023!J123</f>
        <v>0</v>
      </c>
      <c r="N169" s="21">
        <f>HHJ_2022_2023!L123</f>
        <v>0</v>
      </c>
      <c r="O169" s="14"/>
      <c r="P169" t="s">
        <v>1293</v>
      </c>
      <c r="R169" s="6"/>
    </row>
    <row r="170" spans="1:18" outlineLevel="2" x14ac:dyDescent="0.2">
      <c r="A170" s="182" t="s">
        <v>310</v>
      </c>
      <c r="B170" s="134">
        <f t="shared" si="32"/>
        <v>165</v>
      </c>
      <c r="C170" s="10" t="s">
        <v>288</v>
      </c>
      <c r="D170" s="10" t="s">
        <v>311</v>
      </c>
      <c r="E170" s="21"/>
      <c r="F170" s="853">
        <v>0</v>
      </c>
      <c r="G170" s="21">
        <v>125000</v>
      </c>
      <c r="H170" s="21">
        <v>205000</v>
      </c>
      <c r="I170" s="664">
        <v>185309.52</v>
      </c>
      <c r="J170" s="21"/>
      <c r="K170" s="21"/>
      <c r="L170" s="21">
        <f>HHJ_2022_2023!H124</f>
        <v>0</v>
      </c>
      <c r="M170" s="21">
        <f>HHJ_2022_2023!J124</f>
        <v>0</v>
      </c>
      <c r="N170" s="21">
        <f>HHJ_2022_2023!L124</f>
        <v>0</v>
      </c>
      <c r="O170" s="14"/>
      <c r="Q170" s="6"/>
      <c r="R170" s="6"/>
    </row>
    <row r="171" spans="1:18" outlineLevel="2" x14ac:dyDescent="0.2">
      <c r="A171" s="182" t="s">
        <v>312</v>
      </c>
      <c r="B171" s="134">
        <f t="shared" si="32"/>
        <v>166</v>
      </c>
      <c r="C171" s="10" t="s">
        <v>290</v>
      </c>
      <c r="D171" s="10" t="s">
        <v>313</v>
      </c>
      <c r="E171" s="21">
        <v>1000</v>
      </c>
      <c r="F171" s="853">
        <v>560.08000000000004</v>
      </c>
      <c r="G171" s="21">
        <v>2000</v>
      </c>
      <c r="H171" s="21">
        <v>2000</v>
      </c>
      <c r="I171" s="664">
        <v>1208.06</v>
      </c>
      <c r="J171" s="21"/>
      <c r="K171" s="21"/>
      <c r="L171" s="21">
        <f>HHJ_2022_2023!H125</f>
        <v>0</v>
      </c>
      <c r="M171" s="21">
        <f>HHJ_2022_2023!J125</f>
        <v>0</v>
      </c>
      <c r="N171" s="21">
        <f>HHJ_2022_2023!L125</f>
        <v>231.39</v>
      </c>
      <c r="O171" s="14"/>
      <c r="R171" s="6"/>
    </row>
    <row r="172" spans="1:18" outlineLevel="2" x14ac:dyDescent="0.2">
      <c r="A172" s="182" t="s">
        <v>314</v>
      </c>
      <c r="B172" s="134">
        <f t="shared" si="32"/>
        <v>167</v>
      </c>
      <c r="C172" s="10" t="s">
        <v>292</v>
      </c>
      <c r="D172" s="10" t="s">
        <v>315</v>
      </c>
      <c r="E172" s="21">
        <v>3000</v>
      </c>
      <c r="F172" s="853">
        <v>0</v>
      </c>
      <c r="G172" s="21">
        <v>2000</v>
      </c>
      <c r="H172" s="21">
        <v>2000</v>
      </c>
      <c r="I172" s="664">
        <v>0</v>
      </c>
      <c r="J172" s="21"/>
      <c r="K172" s="21"/>
      <c r="L172" s="21">
        <f>HHJ_2022_2023!H126</f>
        <v>0</v>
      </c>
      <c r="M172" s="21">
        <f>HHJ_2022_2023!J126</f>
        <v>0</v>
      </c>
      <c r="N172" s="21">
        <f>HHJ_2022_2023!L126</f>
        <v>0</v>
      </c>
      <c r="O172" s="14"/>
      <c r="Q172" s="6"/>
      <c r="R172" s="6"/>
    </row>
    <row r="173" spans="1:18" outlineLevel="1" x14ac:dyDescent="0.2">
      <c r="B173" s="131">
        <f t="shared" si="32"/>
        <v>168</v>
      </c>
      <c r="F173" s="25"/>
      <c r="J173" s="14"/>
      <c r="K173" s="14"/>
      <c r="L173" s="14"/>
      <c r="M173" s="14"/>
      <c r="N173" s="14"/>
      <c r="O173" s="14"/>
      <c r="R173" s="6"/>
    </row>
    <row r="174" spans="1:18" outlineLevel="1" x14ac:dyDescent="0.2">
      <c r="A174" s="181" t="s">
        <v>316</v>
      </c>
      <c r="B174" s="133">
        <f t="shared" si="32"/>
        <v>169</v>
      </c>
      <c r="C174" s="9"/>
      <c r="D174" s="9" t="s">
        <v>317</v>
      </c>
      <c r="E174" s="20">
        <f>SUBTOTAL(9,E175:E181)</f>
        <v>118814</v>
      </c>
      <c r="F174" s="665">
        <v>2984.7599999999998</v>
      </c>
      <c r="G174" s="20">
        <f>SUBTOTAL(9,G175:G181)</f>
        <v>52910</v>
      </c>
      <c r="H174" s="20">
        <f>SUBTOTAL(9,H175:H181)</f>
        <v>49100</v>
      </c>
      <c r="I174" s="20">
        <f>SUBTOTAL(9,I175:I181)</f>
        <v>5988.9299999999994</v>
      </c>
      <c r="J174" s="20"/>
      <c r="K174" s="20"/>
      <c r="L174" s="20">
        <f>SUBTOTAL(9,L175:L181)</f>
        <v>129</v>
      </c>
      <c r="M174" s="20">
        <f>SUBTOTAL(9,M175:M181)</f>
        <v>168</v>
      </c>
      <c r="N174" s="20">
        <f>SUBTOTAL(9,N175:N181)</f>
        <v>334.48</v>
      </c>
      <c r="O174" s="14"/>
      <c r="Q174" s="6"/>
      <c r="R174" s="6"/>
    </row>
    <row r="175" spans="1:18" outlineLevel="2" x14ac:dyDescent="0.2">
      <c r="A175" s="182" t="s">
        <v>318</v>
      </c>
      <c r="B175" s="134">
        <f t="shared" si="32"/>
        <v>170</v>
      </c>
      <c r="C175" s="10" t="s">
        <v>319</v>
      </c>
      <c r="D175" s="13" t="s">
        <v>320</v>
      </c>
      <c r="E175" s="21">
        <f>Referatspläne!B4</f>
        <v>19390</v>
      </c>
      <c r="F175" s="860">
        <v>129.25</v>
      </c>
      <c r="G175" s="21">
        <v>9180</v>
      </c>
      <c r="H175" s="21">
        <f>Referatspläne!B2</f>
        <v>1150</v>
      </c>
      <c r="I175" s="664">
        <v>0</v>
      </c>
      <c r="J175" s="21"/>
      <c r="K175" s="21"/>
      <c r="L175" s="21">
        <f>(HHJ_2022_2023!H153*0.1)+(HHJ_2022_2023!H161*0.1)+(HHJ_2022_2023!H171*0.1)</f>
        <v>0</v>
      </c>
      <c r="M175" s="21">
        <f>(HHJ_2022_2023!J153*0.1)+(HHJ_2022_2023!J161*0.1)+(HHJ_2022_2023!J171*0.1)</f>
        <v>0</v>
      </c>
      <c r="N175" s="21">
        <f>(HHJ_2022_2023!L153*0.1)+(HHJ_2022_2023!L161*0.1)+(HHJ_2022_2023!L171*0.1)</f>
        <v>0</v>
      </c>
      <c r="O175" s="14"/>
      <c r="R175" s="6"/>
    </row>
    <row r="176" spans="1:18" outlineLevel="2" x14ac:dyDescent="0.2">
      <c r="A176" s="182" t="s">
        <v>321</v>
      </c>
      <c r="B176" s="134">
        <f t="shared" si="32"/>
        <v>171</v>
      </c>
      <c r="C176" s="10" t="s">
        <v>322</v>
      </c>
      <c r="D176" s="13" t="s">
        <v>323</v>
      </c>
      <c r="E176" s="21">
        <f>Referatspläne!C4</f>
        <v>13770</v>
      </c>
      <c r="F176" s="860">
        <v>904.74999999999989</v>
      </c>
      <c r="G176" s="21">
        <v>10200</v>
      </c>
      <c r="H176" s="21">
        <f>Referatspläne!C2</f>
        <v>8050</v>
      </c>
      <c r="I176" s="664">
        <v>4792.2</v>
      </c>
      <c r="J176" s="21"/>
      <c r="K176" s="21"/>
      <c r="L176" s="21">
        <f>(HHJ_2022_2023!H153*0.7)+(HHJ_2022_2023!H161*0.7)+(HHJ_2022_2023!H171*0.7)</f>
        <v>0</v>
      </c>
      <c r="M176" s="21">
        <f>(HHJ_2022_2023!J153*0.7)+(HHJ_2022_2023!J161*0.7)+(HHJ_2022_2023!J171*0.7)</f>
        <v>0</v>
      </c>
      <c r="N176" s="21">
        <f>(HHJ_2022_2023!L153*0.7)+(HHJ_2022_2023!L161*0.7)+(HHJ_2022_2023!L171*0.7)</f>
        <v>0</v>
      </c>
      <c r="O176" s="14"/>
      <c r="Q176" s="6"/>
      <c r="R176" s="6"/>
    </row>
    <row r="177" spans="1:18" outlineLevel="2" x14ac:dyDescent="0.2">
      <c r="A177" s="182" t="s">
        <v>324</v>
      </c>
      <c r="B177" s="134">
        <f t="shared" si="32"/>
        <v>172</v>
      </c>
      <c r="C177" s="10" t="s">
        <v>325</v>
      </c>
      <c r="D177" s="13" t="s">
        <v>326</v>
      </c>
      <c r="E177" s="21">
        <f>Referatspläne!E4</f>
        <v>2900</v>
      </c>
      <c r="F177" s="860">
        <v>258.5</v>
      </c>
      <c r="G177" s="21">
        <v>3850</v>
      </c>
      <c r="H177" s="21">
        <f>Referatspläne!E2</f>
        <v>2300</v>
      </c>
      <c r="I177" s="664">
        <v>0</v>
      </c>
      <c r="J177" s="21"/>
      <c r="K177" s="21"/>
      <c r="L177" s="21">
        <f>(HHJ_2022_2023!H153*0.2)+(HHJ_2022_2023!H161*0.2)+(HHJ_2022_2023!H171*0.2)</f>
        <v>0</v>
      </c>
      <c r="M177" s="21">
        <f>(HHJ_2022_2023!J153*0.2)+(HHJ_2022_2023!J161*0.2)+(HHJ_2022_2023!J171*0.2)</f>
        <v>0</v>
      </c>
      <c r="N177" s="21">
        <f>(HHJ_2022_2023!L153*0.2)+(HHJ_2022_2023!L161*0.2)+(HHJ_2022_2023!L171*0.2)</f>
        <v>0</v>
      </c>
      <c r="O177" s="14"/>
      <c r="R177" s="6"/>
    </row>
    <row r="178" spans="1:18" outlineLevel="2" x14ac:dyDescent="0.2">
      <c r="A178" s="182" t="s">
        <v>327</v>
      </c>
      <c r="B178" s="134">
        <f t="shared" si="32"/>
        <v>173</v>
      </c>
      <c r="C178" s="10" t="s">
        <v>328</v>
      </c>
      <c r="D178" s="13" t="s">
        <v>329</v>
      </c>
      <c r="E178" s="21">
        <f>Referatspläne!F4</f>
        <v>2548</v>
      </c>
      <c r="F178" s="860">
        <v>945.78</v>
      </c>
      <c r="G178" s="21">
        <v>10100</v>
      </c>
      <c r="H178" s="21">
        <f>Referatspläne!G2</f>
        <v>13500</v>
      </c>
      <c r="I178" s="664">
        <v>541</v>
      </c>
      <c r="J178" s="21"/>
      <c r="K178" s="21"/>
      <c r="L178" s="21">
        <f>HHJ_2022_2023!H128+HHJ_2022_2023!H129+HHJ_2022_2023!H130+HHJ_2022_2023!H134+HHJ_2022_2023!H156+HHJ_2022_2023!H164+HHJ_2022_2023!H173+HHJ_2022_2023!H165</f>
        <v>90</v>
      </c>
      <c r="M178" s="21">
        <f>HHJ_2022_2023!J128+HHJ_2022_2023!J129+HHJ_2022_2023!J130+HHJ_2022_2023!J134+HHJ_2022_2023!J156+HHJ_2022_2023!J164+HHJ_2022_2023!J173+HHJ_2022_2023!J165</f>
        <v>90</v>
      </c>
      <c r="N178" s="21">
        <f>HHJ_2022_2023!L128+HHJ_2022_2023!L129+HHJ_2022_2023!L130+HHJ_2022_2023!L134+HHJ_2022_2023!L156+HHJ_2022_2023!L164+HHJ_2022_2023!L173+HHJ_2022_2023!L165</f>
        <v>90</v>
      </c>
      <c r="O178" s="14"/>
      <c r="Q178" s="6"/>
      <c r="R178" s="6"/>
    </row>
    <row r="179" spans="1:18" outlineLevel="2" x14ac:dyDescent="0.2">
      <c r="A179" s="182" t="s">
        <v>330</v>
      </c>
      <c r="B179" s="134">
        <f t="shared" si="32"/>
        <v>174</v>
      </c>
      <c r="C179" s="10" t="s">
        <v>331</v>
      </c>
      <c r="D179" s="13" t="s">
        <v>332</v>
      </c>
      <c r="E179" s="21">
        <f>Referatspläne!H4</f>
        <v>22791</v>
      </c>
      <c r="F179" s="860">
        <v>580</v>
      </c>
      <c r="G179" s="21">
        <v>4730</v>
      </c>
      <c r="H179" s="21">
        <f>Referatspläne!I2</f>
        <v>22000</v>
      </c>
      <c r="I179" s="664">
        <v>468</v>
      </c>
      <c r="J179" s="21"/>
      <c r="K179" s="21"/>
      <c r="L179" s="21">
        <f>HHJ_2022_2023!H132+HHJ_2022_2023!H154+HHJ_2022_2023!H155+HHJ_2022_2023!H162+HHJ_2022_2023!H163+HHJ_2022_2023!H174</f>
        <v>39</v>
      </c>
      <c r="M179" s="21">
        <f>HHJ_2022_2023!J132+HHJ_2022_2023!J154+HHJ_2022_2023!J155+HHJ_2022_2023!J162+HHJ_2022_2023!J163+HHJ_2022_2023!J174</f>
        <v>78</v>
      </c>
      <c r="N179" s="21">
        <f>HHJ_2022_2023!L132+HHJ_2022_2023!L154+HHJ_2022_2023!L155+HHJ_2022_2023!L162+HHJ_2022_2023!L163+HHJ_2022_2023!L174</f>
        <v>78</v>
      </c>
      <c r="O179" s="14"/>
      <c r="R179" s="6"/>
    </row>
    <row r="180" spans="1:18" outlineLevel="2" x14ac:dyDescent="0.2">
      <c r="A180" s="182" t="s">
        <v>333</v>
      </c>
      <c r="B180" s="134">
        <f t="shared" si="32"/>
        <v>175</v>
      </c>
      <c r="C180" s="10"/>
      <c r="D180" s="13" t="s">
        <v>334</v>
      </c>
      <c r="E180" s="21">
        <f>Referatspläne!J4</f>
        <v>9025</v>
      </c>
      <c r="F180" s="860"/>
      <c r="G180" s="21">
        <v>3150</v>
      </c>
      <c r="H180" s="21">
        <f>Referatspläne!J2</f>
        <v>0</v>
      </c>
      <c r="I180" s="663">
        <v>0</v>
      </c>
      <c r="J180" s="21"/>
      <c r="K180" s="21"/>
      <c r="L180" s="21"/>
      <c r="M180" s="21"/>
      <c r="N180" s="21"/>
      <c r="O180" s="14"/>
      <c r="Q180" s="6"/>
      <c r="R180" s="6"/>
    </row>
    <row r="181" spans="1:18" outlineLevel="2" x14ac:dyDescent="0.2">
      <c r="A181" s="182" t="s">
        <v>335</v>
      </c>
      <c r="B181" s="134">
        <f t="shared" si="32"/>
        <v>176</v>
      </c>
      <c r="C181" s="10" t="s">
        <v>336</v>
      </c>
      <c r="D181" s="13" t="s">
        <v>315</v>
      </c>
      <c r="E181" s="21">
        <f>Referatspläne!K4</f>
        <v>48390</v>
      </c>
      <c r="F181" s="860">
        <v>166.48</v>
      </c>
      <c r="G181" s="21">
        <v>11700</v>
      </c>
      <c r="H181" s="21">
        <f>Referatspläne!K2</f>
        <v>2100</v>
      </c>
      <c r="I181" s="664">
        <v>187.73</v>
      </c>
      <c r="J181" s="21"/>
      <c r="K181" s="21"/>
      <c r="L181" s="21">
        <f>HHJ_2022_2023!H135+HHJ_2022_2023!H175+HHJ_2022_2023!H167</f>
        <v>0</v>
      </c>
      <c r="M181" s="21">
        <f>HHJ_2022_2023!J135+HHJ_2022_2023!J175+HHJ_2022_2023!J167</f>
        <v>0</v>
      </c>
      <c r="N181" s="21">
        <f>HHJ_2022_2023!L135+HHJ_2022_2023!L175+HHJ_2022_2023!L167</f>
        <v>166.48</v>
      </c>
      <c r="O181" s="14"/>
      <c r="R181" s="6"/>
    </row>
    <row r="182" spans="1:18" outlineLevel="1" x14ac:dyDescent="0.2">
      <c r="B182" s="131">
        <f t="shared" si="32"/>
        <v>177</v>
      </c>
      <c r="F182" s="25"/>
      <c r="J182" s="14"/>
      <c r="K182" s="14"/>
      <c r="L182" s="14"/>
      <c r="M182" s="14"/>
      <c r="N182" s="14"/>
      <c r="O182" s="14"/>
      <c r="Q182" s="6"/>
      <c r="R182" s="6"/>
    </row>
    <row r="183" spans="1:18" outlineLevel="1" x14ac:dyDescent="0.2">
      <c r="A183" s="181" t="s">
        <v>337</v>
      </c>
      <c r="B183" s="133">
        <f>ROW(B178)</f>
        <v>178</v>
      </c>
      <c r="C183" s="9"/>
      <c r="D183" s="9" t="s">
        <v>338</v>
      </c>
      <c r="E183" s="20">
        <f>SUBTOTAL(9,E184:E225)</f>
        <v>137090</v>
      </c>
      <c r="F183" s="665">
        <v>41052.385999999999</v>
      </c>
      <c r="G183" s="20">
        <f>SUBTOTAL(9,G184:G225)</f>
        <v>162715</v>
      </c>
      <c r="H183" s="20">
        <f>SUBTOTAL(9,H184:H225)</f>
        <v>152900</v>
      </c>
      <c r="I183" s="20">
        <f>SUBTOTAL(9,I184:I225)</f>
        <v>118054.28000000001</v>
      </c>
      <c r="J183" s="20"/>
      <c r="K183" s="20"/>
      <c r="L183" s="20">
        <f>SUBTOTAL(9,L184:L225)</f>
        <v>1765.5</v>
      </c>
      <c r="M183" s="20">
        <f>SUBTOTAL(9,M184:M225)</f>
        <v>5253.29</v>
      </c>
      <c r="N183" s="20">
        <f>SUBTOTAL(9,N184:N225)</f>
        <v>5289.3560000000007</v>
      </c>
      <c r="O183" s="14"/>
      <c r="R183" s="6"/>
    </row>
    <row r="184" spans="1:18" outlineLevel="2" x14ac:dyDescent="0.2">
      <c r="A184" s="182" t="s">
        <v>339</v>
      </c>
      <c r="B184" s="136">
        <f>ROW(B179)</f>
        <v>179</v>
      </c>
      <c r="C184" s="10"/>
      <c r="D184" s="10" t="s">
        <v>320</v>
      </c>
      <c r="E184" s="662">
        <f>SUBTOTAL(9,E185:E189)</f>
        <v>108510</v>
      </c>
      <c r="F184" s="856">
        <v>25767.398999999998</v>
      </c>
      <c r="G184" s="662">
        <f>SUBTOTAL(9,G185:G189)</f>
        <v>121565</v>
      </c>
      <c r="H184" s="662">
        <f>SUBTOTAL(9,H185:H189)</f>
        <v>96200</v>
      </c>
      <c r="I184" s="662">
        <f>SUBTOTAL(9,I185:I189)</f>
        <v>112777.58</v>
      </c>
      <c r="J184" s="21"/>
      <c r="K184" s="21"/>
      <c r="L184" s="662">
        <f>SUBTOTAL(9,L185:L189)</f>
        <v>978.25</v>
      </c>
      <c r="M184" s="662">
        <f>SUBTOTAL(9,M185:M189)</f>
        <v>2852.0239999999999</v>
      </c>
      <c r="N184" s="662">
        <f>SUBTOTAL(9,N185:N189)</f>
        <v>2852.0239999999999</v>
      </c>
      <c r="O184" s="14"/>
      <c r="Q184" s="6"/>
      <c r="R184" s="6"/>
    </row>
    <row r="185" spans="1:18" outlineLevel="3" x14ac:dyDescent="0.2">
      <c r="A185" s="183" t="s">
        <v>340</v>
      </c>
      <c r="B185" s="135">
        <f>ROW(B180)</f>
        <v>180</v>
      </c>
      <c r="C185" s="10" t="s">
        <v>341</v>
      </c>
      <c r="D185" s="13" t="s">
        <v>270</v>
      </c>
      <c r="E185" s="21">
        <f>WiWi!E15</f>
        <v>40000</v>
      </c>
      <c r="F185" s="860">
        <v>12780.25</v>
      </c>
      <c r="G185" s="21">
        <v>45600</v>
      </c>
      <c r="H185" s="21">
        <f>WiWi!I15</f>
        <v>31499.999999999996</v>
      </c>
      <c r="I185" s="664">
        <f>WiWi!J15</f>
        <v>41821.25</v>
      </c>
      <c r="J185" s="21"/>
      <c r="K185" s="21"/>
      <c r="L185" s="21">
        <f>HHJ_2022_2023!H201*0.7</f>
        <v>558.25</v>
      </c>
      <c r="M185" s="21">
        <f>HHJ_2022_2023!J201*0.7</f>
        <v>558.25</v>
      </c>
      <c r="N185" s="21">
        <f>HHJ_2022_2023!L201*0.7</f>
        <v>558.25</v>
      </c>
      <c r="O185" s="14"/>
      <c r="R185" s="6"/>
    </row>
    <row r="186" spans="1:18" outlineLevel="3" x14ac:dyDescent="0.2">
      <c r="A186" s="183" t="s">
        <v>342</v>
      </c>
      <c r="B186" s="135">
        <f>ROW(B181)</f>
        <v>181</v>
      </c>
      <c r="C186" s="10" t="s">
        <v>343</v>
      </c>
      <c r="D186" s="13" t="s">
        <v>273</v>
      </c>
      <c r="E186" s="21">
        <f>KSW!E15</f>
        <v>8510</v>
      </c>
      <c r="F186" s="860">
        <v>882</v>
      </c>
      <c r="G186" s="21">
        <v>8510</v>
      </c>
      <c r="H186" s="21">
        <f>KSW!I15</f>
        <v>2100</v>
      </c>
      <c r="I186" s="664">
        <f>KSW!J15</f>
        <v>4544.7</v>
      </c>
      <c r="J186" s="21"/>
      <c r="K186" s="21"/>
      <c r="L186" s="21">
        <f>HHJ_2022_2023!H211*0.7</f>
        <v>420</v>
      </c>
      <c r="M186" s="21">
        <f>HHJ_2022_2023!J211*0.7</f>
        <v>420</v>
      </c>
      <c r="N186" s="21">
        <f>HHJ_2022_2023!L211*0.7</f>
        <v>420</v>
      </c>
      <c r="O186" s="14"/>
      <c r="Q186" s="6"/>
      <c r="R186" s="6"/>
    </row>
    <row r="187" spans="1:18" outlineLevel="3" x14ac:dyDescent="0.2">
      <c r="A187" s="183" t="s">
        <v>344</v>
      </c>
      <c r="B187" s="135">
        <f>ROW(B182)</f>
        <v>182</v>
      </c>
      <c r="C187" s="10" t="s">
        <v>345</v>
      </c>
      <c r="D187" s="13" t="s">
        <v>276</v>
      </c>
      <c r="E187" s="21">
        <f>PSY!E15</f>
        <v>23000</v>
      </c>
      <c r="F187" s="860">
        <v>73.5</v>
      </c>
      <c r="G187" s="21">
        <v>24540</v>
      </c>
      <c r="H187" s="21">
        <f>PSY!I15</f>
        <v>22000</v>
      </c>
      <c r="I187" s="664">
        <f>PSY!J15</f>
        <v>22905</v>
      </c>
      <c r="J187" s="21"/>
      <c r="K187" s="21"/>
      <c r="L187" s="21">
        <f>HHJ_2022_2023!H221*0.7</f>
        <v>0</v>
      </c>
      <c r="M187" s="21">
        <f>HHJ_2022_2023!J221*0.7</f>
        <v>73.5</v>
      </c>
      <c r="N187" s="21">
        <f>HHJ_2022_2023!L221*0.7</f>
        <v>73.5</v>
      </c>
      <c r="O187" s="14"/>
      <c r="R187" s="6"/>
    </row>
    <row r="188" spans="1:18" outlineLevel="3" x14ac:dyDescent="0.2">
      <c r="A188" s="183" t="s">
        <v>346</v>
      </c>
      <c r="B188" s="135">
        <f t="shared" ref="B188:B251" si="33">ROW(B183)</f>
        <v>183</v>
      </c>
      <c r="C188" s="10" t="s">
        <v>347</v>
      </c>
      <c r="D188" s="13" t="s">
        <v>279</v>
      </c>
      <c r="E188" s="21">
        <f>ReWi!E15</f>
        <v>22000</v>
      </c>
      <c r="F188" s="860">
        <v>7950.6489999999994</v>
      </c>
      <c r="G188" s="21">
        <v>25715</v>
      </c>
      <c r="H188" s="21">
        <f>ReWi!I15</f>
        <v>29399.999999999996</v>
      </c>
      <c r="I188" s="664">
        <f>ReWi!J15</f>
        <v>25892.880000000001</v>
      </c>
      <c r="J188" s="21"/>
      <c r="K188" s="21"/>
      <c r="L188" s="21">
        <f>HHJ_2022_2023!H231*0.7</f>
        <v>0</v>
      </c>
      <c r="M188" s="21">
        <f>HHJ_2022_2023!J231*0.7</f>
        <v>1184.2739999999999</v>
      </c>
      <c r="N188" s="21">
        <f>HHJ_2022_2023!L231*0.7</f>
        <v>1184.2739999999999</v>
      </c>
      <c r="O188" s="14"/>
      <c r="Q188" s="6"/>
      <c r="R188" s="6"/>
    </row>
    <row r="189" spans="1:18" outlineLevel="3" x14ac:dyDescent="0.2">
      <c r="A189" s="183" t="s">
        <v>348</v>
      </c>
      <c r="B189" s="135">
        <f t="shared" si="33"/>
        <v>184</v>
      </c>
      <c r="C189" s="10" t="s">
        <v>349</v>
      </c>
      <c r="D189" s="13" t="s">
        <v>282</v>
      </c>
      <c r="E189" s="21">
        <f>M_I!E15</f>
        <v>15000</v>
      </c>
      <c r="F189" s="860">
        <v>4080.9999999999995</v>
      </c>
      <c r="G189" s="21">
        <v>17200</v>
      </c>
      <c r="H189" s="21">
        <f>M_I!I15</f>
        <v>11200</v>
      </c>
      <c r="I189" s="664">
        <f>M_I!J15</f>
        <v>17613.75</v>
      </c>
      <c r="J189" s="21"/>
      <c r="K189" s="21"/>
      <c r="L189" s="21">
        <f>HHJ_2022_2023!H241*0.7</f>
        <v>0</v>
      </c>
      <c r="M189" s="21">
        <f>HHJ_2022_2023!J241*0.7</f>
        <v>616</v>
      </c>
      <c r="N189" s="21">
        <f>HHJ_2022_2023!L241*0.7</f>
        <v>616</v>
      </c>
      <c r="O189" s="14"/>
      <c r="R189" s="6"/>
    </row>
    <row r="190" spans="1:18" outlineLevel="2" x14ac:dyDescent="0.2">
      <c r="A190" s="182" t="s">
        <v>350</v>
      </c>
      <c r="B190" s="136">
        <f t="shared" si="33"/>
        <v>185</v>
      </c>
      <c r="C190" s="10"/>
      <c r="D190" s="10" t="s">
        <v>323</v>
      </c>
      <c r="E190" s="662">
        <f>SUBTOTAL(9,E191:E195)</f>
        <v>5640</v>
      </c>
      <c r="F190" s="856">
        <v>5521.5855000000001</v>
      </c>
      <c r="G190" s="662">
        <f>SUBTOTAL(9,G191:G195)</f>
        <v>10140</v>
      </c>
      <c r="H190" s="662">
        <f>SUBTOTAL(9,H191:H195)</f>
        <v>15450</v>
      </c>
      <c r="I190" s="662">
        <f>SUBTOTAL(9,I191:I195)</f>
        <v>0</v>
      </c>
      <c r="J190" s="21"/>
      <c r="K190" s="21"/>
      <c r="L190" s="662">
        <f>SUBTOTAL(9,L191:L195)</f>
        <v>209.625</v>
      </c>
      <c r="M190" s="662">
        <f>SUBTOTAL(9,M191:M195)</f>
        <v>611.14799999999991</v>
      </c>
      <c r="N190" s="662">
        <f>SUBTOTAL(9,N191:N195)</f>
        <v>611.14799999999991</v>
      </c>
      <c r="O190" s="14"/>
      <c r="Q190" s="6"/>
      <c r="R190" s="6"/>
    </row>
    <row r="191" spans="1:18" outlineLevel="3" x14ac:dyDescent="0.2">
      <c r="A191" s="183" t="s">
        <v>351</v>
      </c>
      <c r="B191" s="135">
        <f t="shared" si="33"/>
        <v>186</v>
      </c>
      <c r="C191" s="10" t="s">
        <v>352</v>
      </c>
      <c r="D191" s="13" t="s">
        <v>270</v>
      </c>
      <c r="E191" s="21">
        <f>WiWi!E16</f>
        <v>1000</v>
      </c>
      <c r="F191" s="860">
        <v>2738.625</v>
      </c>
      <c r="G191" s="21">
        <v>2000</v>
      </c>
      <c r="H191" s="21">
        <f>WiWi!I16</f>
        <v>6750</v>
      </c>
      <c r="I191" s="664">
        <v>0</v>
      </c>
      <c r="J191" s="21"/>
      <c r="K191" s="21"/>
      <c r="L191" s="21">
        <f>HHJ_2022_2023!H201*0.15</f>
        <v>119.625</v>
      </c>
      <c r="M191" s="21">
        <f>HHJ_2022_2023!J201*0.15</f>
        <v>119.625</v>
      </c>
      <c r="N191" s="21">
        <f>HHJ_2022_2023!L201*0.15</f>
        <v>119.625</v>
      </c>
      <c r="O191" s="14"/>
      <c r="R191" s="6"/>
    </row>
    <row r="192" spans="1:18" outlineLevel="3" x14ac:dyDescent="0.2">
      <c r="A192" s="183" t="s">
        <v>353</v>
      </c>
      <c r="B192" s="135">
        <f t="shared" si="33"/>
        <v>187</v>
      </c>
      <c r="C192" s="10" t="s">
        <v>354</v>
      </c>
      <c r="D192" s="13" t="s">
        <v>273</v>
      </c>
      <c r="E192" s="21">
        <f>KSW!E16</f>
        <v>2640</v>
      </c>
      <c r="F192" s="860">
        <v>189</v>
      </c>
      <c r="G192" s="21">
        <v>2640</v>
      </c>
      <c r="H192" s="21">
        <f>KSW!I16</f>
        <v>600</v>
      </c>
      <c r="I192" s="664">
        <v>0</v>
      </c>
      <c r="J192" s="21"/>
      <c r="K192" s="21"/>
      <c r="L192" s="21">
        <f>HHJ_2022_2023!H211*0.15</f>
        <v>90</v>
      </c>
      <c r="M192" s="21">
        <f>HHJ_2022_2023!J211*0.15</f>
        <v>90</v>
      </c>
      <c r="N192" s="21">
        <f>HHJ_2022_2023!L211*0.15</f>
        <v>90</v>
      </c>
      <c r="O192" s="14"/>
      <c r="Q192" s="6"/>
      <c r="R192" s="6"/>
    </row>
    <row r="193" spans="1:18" outlineLevel="3" x14ac:dyDescent="0.2">
      <c r="A193" s="183" t="s">
        <v>355</v>
      </c>
      <c r="B193" s="135">
        <f t="shared" si="33"/>
        <v>188</v>
      </c>
      <c r="C193" s="10" t="s">
        <v>356</v>
      </c>
      <c r="D193" s="13" t="s">
        <v>276</v>
      </c>
      <c r="E193" s="21">
        <f>PSY!E16</f>
        <v>2000</v>
      </c>
      <c r="F193" s="860">
        <v>15.75</v>
      </c>
      <c r="G193" s="21">
        <v>2000</v>
      </c>
      <c r="H193" s="21">
        <f>PSY!I16</f>
        <v>0</v>
      </c>
      <c r="I193" s="664">
        <v>0</v>
      </c>
      <c r="J193" s="21"/>
      <c r="K193" s="21"/>
      <c r="L193" s="21">
        <f>HHJ_2022_2023!H221*0.15</f>
        <v>0</v>
      </c>
      <c r="M193" s="21">
        <f>HHJ_2022_2023!J221*0.15</f>
        <v>15.75</v>
      </c>
      <c r="N193" s="21">
        <f>HHJ_2022_2023!L221*0.15</f>
        <v>15.75</v>
      </c>
      <c r="O193" s="14"/>
      <c r="R193" s="6"/>
    </row>
    <row r="194" spans="1:18" outlineLevel="3" x14ac:dyDescent="0.2">
      <c r="A194" s="183" t="s">
        <v>357</v>
      </c>
      <c r="B194" s="135">
        <f t="shared" si="33"/>
        <v>189</v>
      </c>
      <c r="C194" s="10" t="s">
        <v>358</v>
      </c>
      <c r="D194" s="13" t="s">
        <v>279</v>
      </c>
      <c r="E194" s="21">
        <f>ReWi!E16</f>
        <v>0</v>
      </c>
      <c r="F194" s="860">
        <v>1703.7104999999999</v>
      </c>
      <c r="G194" s="21">
        <v>2500</v>
      </c>
      <c r="H194" s="21">
        <f>ReWi!I16</f>
        <v>6300</v>
      </c>
      <c r="I194" s="664">
        <v>0</v>
      </c>
      <c r="J194" s="21"/>
      <c r="K194" s="21"/>
      <c r="L194" s="21">
        <f>HHJ_2022_2023!H231*0.15</f>
        <v>0</v>
      </c>
      <c r="M194" s="21">
        <f>HHJ_2022_2023!J231*0.15</f>
        <v>253.77299999999997</v>
      </c>
      <c r="N194" s="21">
        <f>HHJ_2022_2023!L231*0.15</f>
        <v>253.77299999999997</v>
      </c>
      <c r="O194" s="14"/>
      <c r="Q194" s="6"/>
      <c r="R194" s="6"/>
    </row>
    <row r="195" spans="1:18" outlineLevel="3" x14ac:dyDescent="0.2">
      <c r="A195" s="183" t="s">
        <v>359</v>
      </c>
      <c r="B195" s="135">
        <f t="shared" si="33"/>
        <v>190</v>
      </c>
      <c r="C195" s="10" t="s">
        <v>360</v>
      </c>
      <c r="D195" s="13" t="s">
        <v>282</v>
      </c>
      <c r="E195" s="21">
        <f>M_I!E16</f>
        <v>0</v>
      </c>
      <c r="F195" s="860">
        <v>874.5</v>
      </c>
      <c r="G195" s="21">
        <v>1000</v>
      </c>
      <c r="H195" s="21">
        <f>M_I!I16</f>
        <v>1800</v>
      </c>
      <c r="I195" s="664">
        <v>0</v>
      </c>
      <c r="J195" s="21"/>
      <c r="K195" s="21"/>
      <c r="L195" s="21">
        <f>HHJ_2022_2023!H241*0.15</f>
        <v>0</v>
      </c>
      <c r="M195" s="21">
        <f>HHJ_2022_2023!J241*0.15</f>
        <v>132</v>
      </c>
      <c r="N195" s="21">
        <f>HHJ_2022_2023!L241*0.15</f>
        <v>132</v>
      </c>
      <c r="O195" s="14"/>
      <c r="R195" s="6"/>
    </row>
    <row r="196" spans="1:18" outlineLevel="2" x14ac:dyDescent="0.2">
      <c r="A196" s="182" t="s">
        <v>361</v>
      </c>
      <c r="B196" s="136">
        <f t="shared" si="33"/>
        <v>191</v>
      </c>
      <c r="C196" s="10"/>
      <c r="D196" s="10" t="s">
        <v>326</v>
      </c>
      <c r="E196" s="662">
        <f>SUBTOTAL(9,E197:E201)</f>
        <v>1100</v>
      </c>
      <c r="F196" s="856">
        <v>5521.5855000000001</v>
      </c>
      <c r="G196" s="662">
        <f>SUBTOTAL(9,G197:G201)</f>
        <v>2000</v>
      </c>
      <c r="H196" s="662">
        <f>SUBTOTAL(9,H197:H201)</f>
        <v>16350</v>
      </c>
      <c r="I196" s="662">
        <f>SUBTOTAL(9,I197:I201)</f>
        <v>0</v>
      </c>
      <c r="J196" s="21"/>
      <c r="K196" s="21"/>
      <c r="L196" s="662">
        <f>SUBTOTAL(9,L197:L201)</f>
        <v>209.625</v>
      </c>
      <c r="M196" s="662">
        <f>SUBTOTAL(9,M197:M201)</f>
        <v>611.14799999999991</v>
      </c>
      <c r="N196" s="662">
        <f>SUBTOTAL(9,N197:N201)</f>
        <v>611.14799999999991</v>
      </c>
      <c r="O196" s="14"/>
      <c r="Q196" s="6"/>
      <c r="R196" s="6"/>
    </row>
    <row r="197" spans="1:18" outlineLevel="3" x14ac:dyDescent="0.2">
      <c r="A197" s="183" t="s">
        <v>362</v>
      </c>
      <c r="B197" s="135">
        <f t="shared" si="33"/>
        <v>192</v>
      </c>
      <c r="C197" s="10" t="s">
        <v>352</v>
      </c>
      <c r="D197" s="13" t="s">
        <v>270</v>
      </c>
      <c r="E197" s="21">
        <f>WiWi!E17</f>
        <v>500</v>
      </c>
      <c r="F197" s="860">
        <v>2738.625</v>
      </c>
      <c r="G197" s="21">
        <v>1100</v>
      </c>
      <c r="H197" s="21">
        <f>WiWi!I17</f>
        <v>6750</v>
      </c>
      <c r="I197" s="664">
        <v>0</v>
      </c>
      <c r="J197" s="21"/>
      <c r="K197" s="21"/>
      <c r="L197" s="21">
        <f>HHJ_2022_2023!H201*0.15</f>
        <v>119.625</v>
      </c>
      <c r="M197" s="21">
        <f>HHJ_2022_2023!J201*0.15</f>
        <v>119.625</v>
      </c>
      <c r="N197" s="21">
        <f>HHJ_2022_2023!L201*0.15</f>
        <v>119.625</v>
      </c>
      <c r="O197" s="14"/>
      <c r="R197" s="6"/>
    </row>
    <row r="198" spans="1:18" outlineLevel="3" x14ac:dyDescent="0.2">
      <c r="A198" s="183" t="s">
        <v>363</v>
      </c>
      <c r="B198" s="135">
        <f t="shared" si="33"/>
        <v>193</v>
      </c>
      <c r="C198" s="10" t="s">
        <v>354</v>
      </c>
      <c r="D198" s="13" t="s">
        <v>273</v>
      </c>
      <c r="E198" s="21">
        <f>KSW!E17</f>
        <v>100</v>
      </c>
      <c r="F198" s="860">
        <v>189</v>
      </c>
      <c r="G198" s="21">
        <v>100</v>
      </c>
      <c r="H198" s="21">
        <f>KSW!I17</f>
        <v>300</v>
      </c>
      <c r="I198" s="664">
        <v>0</v>
      </c>
      <c r="J198" s="21"/>
      <c r="K198" s="21"/>
      <c r="L198" s="21">
        <f>HHJ_2022_2023!H211*0.15</f>
        <v>90</v>
      </c>
      <c r="M198" s="21">
        <f>HHJ_2022_2023!J211*0.15</f>
        <v>90</v>
      </c>
      <c r="N198" s="21">
        <f>HHJ_2022_2023!L211*0.15</f>
        <v>90</v>
      </c>
      <c r="O198" s="14"/>
      <c r="Q198" s="6"/>
      <c r="R198" s="6"/>
    </row>
    <row r="199" spans="1:18" outlineLevel="3" x14ac:dyDescent="0.2">
      <c r="A199" s="183" t="s">
        <v>364</v>
      </c>
      <c r="B199" s="135">
        <f t="shared" si="33"/>
        <v>194</v>
      </c>
      <c r="C199" s="10" t="s">
        <v>356</v>
      </c>
      <c r="D199" s="13" t="s">
        <v>276</v>
      </c>
      <c r="E199" s="21">
        <f>PSY!E17</f>
        <v>500</v>
      </c>
      <c r="F199" s="860">
        <v>15.75</v>
      </c>
      <c r="G199" s="21">
        <v>100</v>
      </c>
      <c r="H199" s="21">
        <f>PSY!I17</f>
        <v>1000</v>
      </c>
      <c r="I199" s="664">
        <v>0</v>
      </c>
      <c r="J199" s="21"/>
      <c r="K199" s="21"/>
      <c r="L199" s="21">
        <f>HHJ_2022_2023!H221*0.15</f>
        <v>0</v>
      </c>
      <c r="M199" s="21">
        <f>HHJ_2022_2023!J221*0.15</f>
        <v>15.75</v>
      </c>
      <c r="N199" s="21">
        <f>HHJ_2022_2023!L221*0.15</f>
        <v>15.75</v>
      </c>
      <c r="O199" s="14"/>
      <c r="R199" s="6"/>
    </row>
    <row r="200" spans="1:18" outlineLevel="3" x14ac:dyDescent="0.2">
      <c r="A200" s="183" t="s">
        <v>365</v>
      </c>
      <c r="B200" s="135">
        <f t="shared" si="33"/>
        <v>195</v>
      </c>
      <c r="C200" s="10" t="s">
        <v>358</v>
      </c>
      <c r="D200" s="13" t="s">
        <v>279</v>
      </c>
      <c r="E200" s="21">
        <f>ReWi!E17</f>
        <v>0</v>
      </c>
      <c r="F200" s="860">
        <v>1703.7104999999999</v>
      </c>
      <c r="G200" s="21">
        <v>500</v>
      </c>
      <c r="H200" s="21">
        <f>ReWi!I17</f>
        <v>6300</v>
      </c>
      <c r="I200" s="664">
        <v>0</v>
      </c>
      <c r="J200" s="21"/>
      <c r="K200" s="21"/>
      <c r="L200" s="21">
        <f>HHJ_2022_2023!H231*0.15</f>
        <v>0</v>
      </c>
      <c r="M200" s="21">
        <f>HHJ_2022_2023!J231*0.15</f>
        <v>253.77299999999997</v>
      </c>
      <c r="N200" s="21">
        <f>HHJ_2022_2023!L231*0.15</f>
        <v>253.77299999999997</v>
      </c>
      <c r="O200" s="14"/>
      <c r="Q200" s="6"/>
      <c r="R200" s="6"/>
    </row>
    <row r="201" spans="1:18" outlineLevel="3" x14ac:dyDescent="0.2">
      <c r="A201" s="183" t="s">
        <v>366</v>
      </c>
      <c r="B201" s="135">
        <f t="shared" si="33"/>
        <v>196</v>
      </c>
      <c r="C201" s="10" t="s">
        <v>360</v>
      </c>
      <c r="D201" s="13" t="s">
        <v>282</v>
      </c>
      <c r="E201" s="21">
        <f>M_I!E17</f>
        <v>0</v>
      </c>
      <c r="F201" s="860">
        <v>874.5</v>
      </c>
      <c r="G201" s="21">
        <v>200</v>
      </c>
      <c r="H201" s="21">
        <f>M_I!I17</f>
        <v>2000</v>
      </c>
      <c r="I201" s="664">
        <v>0</v>
      </c>
      <c r="J201" s="21"/>
      <c r="K201" s="21"/>
      <c r="L201" s="21">
        <f>HHJ_2022_2023!H241*0.15</f>
        <v>0</v>
      </c>
      <c r="M201" s="21">
        <f>HHJ_2022_2023!J241*0.15</f>
        <v>132</v>
      </c>
      <c r="N201" s="21">
        <f>HHJ_2022_2023!L241*0.15</f>
        <v>132</v>
      </c>
      <c r="O201" s="14"/>
      <c r="R201" s="6"/>
    </row>
    <row r="202" spans="1:18" outlineLevel="2" x14ac:dyDescent="0.2">
      <c r="A202" s="182" t="s">
        <v>367</v>
      </c>
      <c r="B202" s="136">
        <f t="shared" si="33"/>
        <v>197</v>
      </c>
      <c r="C202" s="10"/>
      <c r="D202" s="10" t="s">
        <v>368</v>
      </c>
      <c r="E202" s="662">
        <f>SUBTOTAL(9,E203:E207)</f>
        <v>1290</v>
      </c>
      <c r="F202" s="856">
        <v>6.0660000000000007</v>
      </c>
      <c r="G202" s="662">
        <f>SUBTOTAL(9,G203:G207)</f>
        <v>3040</v>
      </c>
      <c r="H202" s="662">
        <f>SUBTOTAL(9,H203:H207)</f>
        <v>2900</v>
      </c>
      <c r="I202" s="662">
        <f>SUBTOTAL(9,I203:I207)</f>
        <v>0</v>
      </c>
      <c r="J202" s="21"/>
      <c r="K202" s="21"/>
      <c r="L202" s="662">
        <f>SUBTOTAL(9,L203:L207)</f>
        <v>0</v>
      </c>
      <c r="M202" s="662">
        <f>SUBTOTAL(9,M203:M207)</f>
        <v>0</v>
      </c>
      <c r="N202" s="662">
        <f>SUBTOTAL(9,N203:N207)</f>
        <v>6.0660000000000007</v>
      </c>
      <c r="O202" s="14"/>
      <c r="Q202" s="6"/>
      <c r="R202" s="6"/>
    </row>
    <row r="203" spans="1:18" outlineLevel="3" x14ac:dyDescent="0.2">
      <c r="A203" s="183" t="s">
        <v>369</v>
      </c>
      <c r="B203" s="135">
        <f t="shared" si="33"/>
        <v>198</v>
      </c>
      <c r="C203" s="10" t="s">
        <v>1183</v>
      </c>
      <c r="D203" s="13" t="s">
        <v>270</v>
      </c>
      <c r="E203" s="21">
        <f>WiWi!E18</f>
        <v>500</v>
      </c>
      <c r="F203" s="860">
        <v>6.0660000000000007</v>
      </c>
      <c r="G203" s="21">
        <v>1500</v>
      </c>
      <c r="H203" s="21">
        <f>WiWi!I18</f>
        <v>2100</v>
      </c>
      <c r="I203" s="664">
        <f>WiWi!J18</f>
        <v>0</v>
      </c>
      <c r="J203" s="21"/>
      <c r="K203" s="21"/>
      <c r="L203" s="21">
        <f>(HHJ_2022_2023!H203*0.9)+HHJ_2022_2023!H205</f>
        <v>0</v>
      </c>
      <c r="M203" s="21">
        <f>(HHJ_2022_2023!J203*0.9)+HHJ_2022_2023!J205</f>
        <v>0</v>
      </c>
      <c r="N203" s="21">
        <f>(HHJ_2022_2023!L203*0.9)+HHJ_2022_2023!L205</f>
        <v>6.0660000000000007</v>
      </c>
      <c r="O203" s="14"/>
      <c r="R203" s="6"/>
    </row>
    <row r="204" spans="1:18" outlineLevel="3" x14ac:dyDescent="0.2">
      <c r="A204" s="183" t="s">
        <v>371</v>
      </c>
      <c r="B204" s="135">
        <f t="shared" si="33"/>
        <v>199</v>
      </c>
      <c r="C204" s="10" t="s">
        <v>372</v>
      </c>
      <c r="D204" s="13" t="s">
        <v>273</v>
      </c>
      <c r="E204" s="21">
        <f>KSW!E18</f>
        <v>340</v>
      </c>
      <c r="F204" s="860">
        <v>0</v>
      </c>
      <c r="G204" s="21">
        <v>340</v>
      </c>
      <c r="H204" s="21">
        <f>KSW!I18</f>
        <v>100</v>
      </c>
      <c r="I204" s="664">
        <f>KSW!J18</f>
        <v>0</v>
      </c>
      <c r="J204" s="21"/>
      <c r="K204" s="21"/>
      <c r="L204" s="21">
        <f>HHJ_2022_2023!H215</f>
        <v>0</v>
      </c>
      <c r="M204" s="21">
        <f>HHJ_2022_2023!J215</f>
        <v>0</v>
      </c>
      <c r="N204" s="21">
        <f>HHJ_2022_2023!L215</f>
        <v>0</v>
      </c>
      <c r="O204" s="14"/>
      <c r="Q204" s="6"/>
      <c r="R204" s="6"/>
    </row>
    <row r="205" spans="1:18" outlineLevel="3" x14ac:dyDescent="0.2">
      <c r="A205" s="183" t="s">
        <v>373</v>
      </c>
      <c r="B205" s="135">
        <f t="shared" si="33"/>
        <v>200</v>
      </c>
      <c r="C205" s="10" t="s">
        <v>374</v>
      </c>
      <c r="D205" s="13" t="s">
        <v>276</v>
      </c>
      <c r="E205" s="21">
        <f>PSY!E18</f>
        <v>200</v>
      </c>
      <c r="F205" s="860">
        <v>0</v>
      </c>
      <c r="G205" s="21">
        <v>500</v>
      </c>
      <c r="H205" s="21">
        <f>PSY!I18</f>
        <v>200</v>
      </c>
      <c r="I205" s="664">
        <f>PSY!J18</f>
        <v>0</v>
      </c>
      <c r="J205" s="21"/>
      <c r="K205" s="21"/>
      <c r="L205" s="21">
        <f>HHJ_2022_2023!H225</f>
        <v>0</v>
      </c>
      <c r="M205" s="21">
        <f>HHJ_2022_2023!J225</f>
        <v>0</v>
      </c>
      <c r="N205" s="21">
        <f>HHJ_2022_2023!L225</f>
        <v>0</v>
      </c>
      <c r="O205" s="14"/>
      <c r="R205" s="6"/>
    </row>
    <row r="206" spans="1:18" outlineLevel="3" x14ac:dyDescent="0.2">
      <c r="A206" s="183" t="s">
        <v>375</v>
      </c>
      <c r="B206" s="135">
        <f t="shared" si="33"/>
        <v>201</v>
      </c>
      <c r="C206" s="10" t="s">
        <v>376</v>
      </c>
      <c r="D206" s="13" t="s">
        <v>279</v>
      </c>
      <c r="E206" s="21">
        <f>ReWi!E18</f>
        <v>0</v>
      </c>
      <c r="F206" s="860">
        <v>0</v>
      </c>
      <c r="G206" s="21">
        <v>450</v>
      </c>
      <c r="H206" s="21">
        <f>ReWi!I18</f>
        <v>300</v>
      </c>
      <c r="I206" s="664">
        <f>ReWi!J18</f>
        <v>0</v>
      </c>
      <c r="J206" s="21"/>
      <c r="K206" s="21"/>
      <c r="L206" s="21">
        <f>HHJ_2022_2023!H235</f>
        <v>0</v>
      </c>
      <c r="M206" s="21">
        <f>HHJ_2022_2023!J235</f>
        <v>0</v>
      </c>
      <c r="N206" s="21">
        <f>HHJ_2022_2023!L235</f>
        <v>0</v>
      </c>
      <c r="O206" s="14"/>
      <c r="Q206" s="6"/>
      <c r="R206" s="6"/>
    </row>
    <row r="207" spans="1:18" outlineLevel="3" x14ac:dyDescent="0.2">
      <c r="A207" s="183" t="s">
        <v>377</v>
      </c>
      <c r="B207" s="135">
        <f t="shared" si="33"/>
        <v>202</v>
      </c>
      <c r="C207" s="10" t="s">
        <v>378</v>
      </c>
      <c r="D207" s="13" t="s">
        <v>282</v>
      </c>
      <c r="E207" s="21">
        <f>M_I!E18</f>
        <v>250</v>
      </c>
      <c r="F207" s="860">
        <v>0</v>
      </c>
      <c r="G207" s="21">
        <v>250</v>
      </c>
      <c r="H207" s="21">
        <f>M_I!I18</f>
        <v>200</v>
      </c>
      <c r="I207" s="664">
        <f>M_I!J18</f>
        <v>0</v>
      </c>
      <c r="J207" s="21"/>
      <c r="K207" s="21"/>
      <c r="L207" s="21">
        <f>HHJ_2022_2023!H245</f>
        <v>0</v>
      </c>
      <c r="M207" s="21">
        <f>HHJ_2022_2023!J245</f>
        <v>0</v>
      </c>
      <c r="N207" s="21">
        <f>HHJ_2022_2023!L245</f>
        <v>0</v>
      </c>
      <c r="O207" s="14"/>
      <c r="R207" s="6"/>
    </row>
    <row r="208" spans="1:18" outlineLevel="2" x14ac:dyDescent="0.2">
      <c r="A208" s="182" t="s">
        <v>379</v>
      </c>
      <c r="B208" s="136">
        <f t="shared" si="33"/>
        <v>203</v>
      </c>
      <c r="C208" s="10"/>
      <c r="D208" s="10" t="s">
        <v>380</v>
      </c>
      <c r="E208" s="662">
        <f>SUBTOTAL(9,E209:E213)</f>
        <v>7250</v>
      </c>
      <c r="F208" s="856">
        <v>160</v>
      </c>
      <c r="G208" s="662">
        <f>SUBTOTAL(9,G209:G213)</f>
        <v>4300</v>
      </c>
      <c r="H208" s="662">
        <f>SUBTOTAL(9,H209:H213)</f>
        <v>12000</v>
      </c>
      <c r="I208" s="662">
        <f>SUBTOTAL(9,I209:I213)</f>
        <v>0</v>
      </c>
      <c r="J208" s="21"/>
      <c r="K208" s="21"/>
      <c r="L208" s="662">
        <f>SUBTOTAL(9,L209:L213)</f>
        <v>0</v>
      </c>
      <c r="M208" s="662">
        <f>SUBTOTAL(9,M209:M213)</f>
        <v>0</v>
      </c>
      <c r="N208" s="662">
        <f>SUBTOTAL(9,N209:N213)</f>
        <v>0</v>
      </c>
      <c r="O208" s="14"/>
      <c r="Q208" s="6"/>
      <c r="R208" s="6"/>
    </row>
    <row r="209" spans="1:18" outlineLevel="3" x14ac:dyDescent="0.2">
      <c r="A209" s="183" t="s">
        <v>381</v>
      </c>
      <c r="B209" s="135">
        <f t="shared" si="33"/>
        <v>204</v>
      </c>
      <c r="C209" s="10" t="s">
        <v>382</v>
      </c>
      <c r="D209" s="13" t="s">
        <v>270</v>
      </c>
      <c r="E209" s="21">
        <f>WiWi!E19</f>
        <v>500</v>
      </c>
      <c r="F209" s="860">
        <v>0</v>
      </c>
      <c r="G209" s="21">
        <v>3000</v>
      </c>
      <c r="H209" s="21">
        <f>WiWi!I19</f>
        <v>4000</v>
      </c>
      <c r="I209" s="664">
        <f>WiWi!J19</f>
        <v>0</v>
      </c>
      <c r="J209" s="21"/>
      <c r="K209" s="21"/>
      <c r="L209" s="21">
        <f>HHJ_2022_2023!H204</f>
        <v>0</v>
      </c>
      <c r="M209" s="21">
        <f>HHJ_2022_2023!J204</f>
        <v>0</v>
      </c>
      <c r="N209" s="21">
        <f>HHJ_2022_2023!L204</f>
        <v>0</v>
      </c>
      <c r="O209" s="14"/>
      <c r="R209" s="6"/>
    </row>
    <row r="210" spans="1:18" outlineLevel="3" x14ac:dyDescent="0.2">
      <c r="A210" s="183" t="s">
        <v>383</v>
      </c>
      <c r="B210" s="135">
        <f t="shared" si="33"/>
        <v>205</v>
      </c>
      <c r="C210" s="10" t="s">
        <v>384</v>
      </c>
      <c r="D210" s="13" t="s">
        <v>273</v>
      </c>
      <c r="E210" s="21">
        <f>KSW!E19</f>
        <v>4500</v>
      </c>
      <c r="F210" s="860">
        <v>0</v>
      </c>
      <c r="G210" s="21">
        <v>200</v>
      </c>
      <c r="H210" s="21">
        <f>KSW!I19</f>
        <v>500</v>
      </c>
      <c r="I210" s="664">
        <f>KSW!J19</f>
        <v>0</v>
      </c>
      <c r="J210" s="21"/>
      <c r="K210" s="21"/>
      <c r="L210" s="21">
        <f>HHJ_2022_2023!H214</f>
        <v>0</v>
      </c>
      <c r="M210" s="21">
        <f>HHJ_2022_2023!J214</f>
        <v>0</v>
      </c>
      <c r="N210" s="21">
        <f>HHJ_2022_2023!L214</f>
        <v>0</v>
      </c>
      <c r="O210" s="14"/>
      <c r="Q210" s="6"/>
      <c r="R210" s="6"/>
    </row>
    <row r="211" spans="1:18" outlineLevel="3" x14ac:dyDescent="0.2">
      <c r="A211" s="183" t="s">
        <v>385</v>
      </c>
      <c r="B211" s="135">
        <f t="shared" si="33"/>
        <v>206</v>
      </c>
      <c r="C211" s="10" t="s">
        <v>386</v>
      </c>
      <c r="D211" s="13" t="s">
        <v>276</v>
      </c>
      <c r="E211" s="21">
        <f>PSY!E19</f>
        <v>500</v>
      </c>
      <c r="F211" s="860">
        <v>0</v>
      </c>
      <c r="G211" s="21">
        <v>600</v>
      </c>
      <c r="H211" s="21">
        <f>PSY!I19</f>
        <v>2000</v>
      </c>
      <c r="I211" s="664">
        <f>PSY!J19</f>
        <v>0</v>
      </c>
      <c r="J211" s="21"/>
      <c r="K211" s="21"/>
      <c r="L211" s="21">
        <f>HHJ_2022_2023!H224</f>
        <v>0</v>
      </c>
      <c r="M211" s="21">
        <f>HHJ_2022_2023!J224</f>
        <v>0</v>
      </c>
      <c r="N211" s="21">
        <f>HHJ_2022_2023!L224</f>
        <v>0</v>
      </c>
      <c r="O211" s="14"/>
      <c r="R211" s="6"/>
    </row>
    <row r="212" spans="1:18" outlineLevel="3" x14ac:dyDescent="0.2">
      <c r="A212" s="183" t="s">
        <v>387</v>
      </c>
      <c r="B212" s="135">
        <f t="shared" si="33"/>
        <v>207</v>
      </c>
      <c r="C212" s="10" t="s">
        <v>388</v>
      </c>
      <c r="D212" s="13" t="s">
        <v>279</v>
      </c>
      <c r="E212" s="21">
        <f>ReWi!E19</f>
        <v>1500</v>
      </c>
      <c r="F212" s="860">
        <v>0</v>
      </c>
      <c r="G212" s="21">
        <v>400</v>
      </c>
      <c r="H212" s="21">
        <f>ReWi!I19</f>
        <v>4000</v>
      </c>
      <c r="I212" s="664">
        <f>ReWi!J19</f>
        <v>0</v>
      </c>
      <c r="J212" s="21"/>
      <c r="K212" s="21"/>
      <c r="L212" s="21">
        <f>HHJ_2022_2023!H234</f>
        <v>0</v>
      </c>
      <c r="M212" s="21">
        <f>HHJ_2022_2023!J234</f>
        <v>0</v>
      </c>
      <c r="N212" s="21">
        <f>HHJ_2022_2023!L234</f>
        <v>0</v>
      </c>
      <c r="O212" s="14"/>
      <c r="Q212" s="6"/>
      <c r="R212" s="6"/>
    </row>
    <row r="213" spans="1:18" outlineLevel="3" x14ac:dyDescent="0.2">
      <c r="A213" s="183" t="s">
        <v>377</v>
      </c>
      <c r="B213" s="135">
        <f t="shared" si="33"/>
        <v>208</v>
      </c>
      <c r="C213" s="10" t="s">
        <v>389</v>
      </c>
      <c r="D213" s="13" t="s">
        <v>282</v>
      </c>
      <c r="E213" s="21">
        <f>M_I!E19</f>
        <v>250</v>
      </c>
      <c r="F213" s="860">
        <v>160</v>
      </c>
      <c r="G213" s="21">
        <v>100</v>
      </c>
      <c r="H213" s="21">
        <f>M_I!I19</f>
        <v>1500</v>
      </c>
      <c r="I213" s="664">
        <f>M_I!J19</f>
        <v>0</v>
      </c>
      <c r="J213" s="21"/>
      <c r="K213" s="21"/>
      <c r="L213" s="21">
        <f>HHJ_2022_2023!H244</f>
        <v>0</v>
      </c>
      <c r="M213" s="21">
        <f>HHJ_2022_2023!J244</f>
        <v>0</v>
      </c>
      <c r="N213" s="21">
        <f>HHJ_2022_2023!L244</f>
        <v>0</v>
      </c>
      <c r="O213" s="14"/>
      <c r="R213" s="6"/>
    </row>
    <row r="214" spans="1:18" outlineLevel="2" x14ac:dyDescent="0.2">
      <c r="A214" s="182" t="s">
        <v>390</v>
      </c>
      <c r="B214" s="134">
        <f t="shared" si="33"/>
        <v>209</v>
      </c>
      <c r="C214" s="10"/>
      <c r="D214" s="10" t="s">
        <v>334</v>
      </c>
      <c r="E214" s="662">
        <f>SUBTOTAL(9,E215:E219)</f>
        <v>5000</v>
      </c>
      <c r="F214" s="856">
        <v>407.57500000000005</v>
      </c>
      <c r="G214" s="662">
        <f>SUBTOTAL(9,G215:G219)</f>
        <v>10720</v>
      </c>
      <c r="H214" s="662">
        <f>SUBTOTAL(9,H215:H219)</f>
        <v>0</v>
      </c>
      <c r="I214" s="662">
        <f>SUBTOTAL(9,I215:I219)</f>
        <v>5276.7</v>
      </c>
      <c r="J214" s="21"/>
      <c r="K214" s="21"/>
      <c r="L214" s="662">
        <f>SUBTOTAL(9,L215:L219)</f>
        <v>36.800000000000004</v>
      </c>
      <c r="M214" s="662">
        <f>SUBTOTAL(9,M215:M219)</f>
        <v>117.89700000000001</v>
      </c>
      <c r="N214" s="662">
        <f>SUBTOTAL(9,N215:N219)</f>
        <v>120.89700000000001</v>
      </c>
      <c r="O214" s="14"/>
      <c r="Q214" s="6"/>
      <c r="R214" s="6"/>
    </row>
    <row r="215" spans="1:18" outlineLevel="3" x14ac:dyDescent="0.2">
      <c r="A215" s="183" t="s">
        <v>391</v>
      </c>
      <c r="B215" s="135">
        <f t="shared" si="33"/>
        <v>210</v>
      </c>
      <c r="C215" s="10" t="s">
        <v>392</v>
      </c>
      <c r="D215" s="13" t="s">
        <v>270</v>
      </c>
      <c r="E215" s="21">
        <f>WiWi!E20</f>
        <v>3500</v>
      </c>
      <c r="F215" s="860">
        <v>186.01500000000001</v>
      </c>
      <c r="G215" s="21">
        <v>4000</v>
      </c>
      <c r="H215" s="21">
        <f>WiWi!I20</f>
        <v>0</v>
      </c>
      <c r="I215" s="664">
        <f>WiWi!J21</f>
        <v>2507.77</v>
      </c>
      <c r="J215" s="21"/>
      <c r="K215" s="21"/>
      <c r="L215" s="21">
        <f>HHJ_2022_2023!H206*0.1</f>
        <v>26.900000000000002</v>
      </c>
      <c r="M215" s="21">
        <f>HHJ_2022_2023!J206*0.1</f>
        <v>68.097000000000008</v>
      </c>
      <c r="N215" s="21">
        <f>HHJ_2022_2023!L206*0.1</f>
        <v>68.097000000000008</v>
      </c>
      <c r="O215" s="14"/>
      <c r="R215" s="6"/>
    </row>
    <row r="216" spans="1:18" outlineLevel="3" x14ac:dyDescent="0.2">
      <c r="A216" s="183" t="s">
        <v>393</v>
      </c>
      <c r="B216" s="135">
        <f t="shared" si="33"/>
        <v>211</v>
      </c>
      <c r="C216" s="10" t="s">
        <v>394</v>
      </c>
      <c r="D216" s="13" t="s">
        <v>273</v>
      </c>
      <c r="E216" s="21">
        <f>KSW!E20</f>
        <v>1500</v>
      </c>
      <c r="F216" s="860">
        <v>24</v>
      </c>
      <c r="G216" s="21">
        <v>1500</v>
      </c>
      <c r="H216" s="21">
        <f>KSW!I20</f>
        <v>0</v>
      </c>
      <c r="I216" s="664">
        <f>KSW!J21</f>
        <v>30</v>
      </c>
      <c r="J216" s="21"/>
      <c r="K216" s="21"/>
      <c r="L216" s="21">
        <f>HHJ_2022_2023!H216*0.1</f>
        <v>0</v>
      </c>
      <c r="M216" s="21">
        <f>HHJ_2022_2023!J216*0.1</f>
        <v>24</v>
      </c>
      <c r="N216" s="21">
        <f>HHJ_2022_2023!L216*0.1</f>
        <v>24</v>
      </c>
      <c r="O216" s="14"/>
      <c r="Q216" s="6"/>
      <c r="R216" s="6"/>
    </row>
    <row r="217" spans="1:18" outlineLevel="3" x14ac:dyDescent="0.2">
      <c r="A217" s="183" t="s">
        <v>395</v>
      </c>
      <c r="B217" s="135">
        <f t="shared" si="33"/>
        <v>212</v>
      </c>
      <c r="C217" s="10" t="s">
        <v>396</v>
      </c>
      <c r="D217" s="13" t="s">
        <v>276</v>
      </c>
      <c r="E217" s="21">
        <f>PSY!E20</f>
        <v>0</v>
      </c>
      <c r="F217" s="860">
        <v>3</v>
      </c>
      <c r="G217" s="21">
        <v>2620</v>
      </c>
      <c r="H217" s="21">
        <f>PSY!I20</f>
        <v>0</v>
      </c>
      <c r="I217" s="664">
        <f>PSY!J21</f>
        <v>30</v>
      </c>
      <c r="J217" s="21"/>
      <c r="K217" s="21"/>
      <c r="L217" s="21">
        <f>HHJ_2022_2023!H226*0.1</f>
        <v>0</v>
      </c>
      <c r="M217" s="21">
        <f>HHJ_2022_2023!J226*0.1</f>
        <v>0</v>
      </c>
      <c r="N217" s="21">
        <f>HHJ_2022_2023!L226*0.1</f>
        <v>3</v>
      </c>
      <c r="O217" s="14"/>
      <c r="R217" s="6"/>
    </row>
    <row r="218" spans="1:18" outlineLevel="3" x14ac:dyDescent="0.2">
      <c r="A218" s="183" t="s">
        <v>397</v>
      </c>
      <c r="B218" s="135">
        <f t="shared" si="33"/>
        <v>213</v>
      </c>
      <c r="C218" s="10" t="s">
        <v>398</v>
      </c>
      <c r="D218" s="13" t="s">
        <v>279</v>
      </c>
      <c r="E218" s="21">
        <f>ReWi!E20</f>
        <v>0</v>
      </c>
      <c r="F218" s="860">
        <v>194.56</v>
      </c>
      <c r="G218" s="21">
        <v>1700</v>
      </c>
      <c r="H218" s="21">
        <f>ReWi!I20</f>
        <v>0</v>
      </c>
      <c r="I218" s="664">
        <f>ReWi!J21</f>
        <v>2559.1</v>
      </c>
      <c r="J218" s="21"/>
      <c r="K218" s="21"/>
      <c r="L218" s="21">
        <f>HHJ_2022_2023!H236*0.1</f>
        <v>9.9</v>
      </c>
      <c r="M218" s="21">
        <f>HHJ_2022_2023!J236*0.1</f>
        <v>25.8</v>
      </c>
      <c r="N218" s="21">
        <f>HHJ_2022_2023!L236*0.1</f>
        <v>25.8</v>
      </c>
      <c r="O218" s="14"/>
      <c r="Q218" s="6"/>
      <c r="R218" s="6"/>
    </row>
    <row r="219" spans="1:18" outlineLevel="3" x14ac:dyDescent="0.2">
      <c r="A219" s="183" t="s">
        <v>399</v>
      </c>
      <c r="B219" s="135">
        <f t="shared" si="33"/>
        <v>214</v>
      </c>
      <c r="C219" s="10" t="s">
        <v>400</v>
      </c>
      <c r="D219" s="13" t="s">
        <v>282</v>
      </c>
      <c r="E219" s="21">
        <f>M_I!E20</f>
        <v>0</v>
      </c>
      <c r="F219" s="860">
        <v>0</v>
      </c>
      <c r="G219" s="21">
        <v>900</v>
      </c>
      <c r="H219" s="21">
        <f>M_I!I20</f>
        <v>0</v>
      </c>
      <c r="I219" s="664">
        <f>M_I!J21</f>
        <v>149.83000000000001</v>
      </c>
      <c r="J219" s="21"/>
      <c r="K219" s="21"/>
      <c r="L219" s="21">
        <f>HHJ_2022_2023!H246*0.1</f>
        <v>0</v>
      </c>
      <c r="M219" s="21">
        <f>HHJ_2022_2023!J246*0.1</f>
        <v>0</v>
      </c>
      <c r="N219" s="21">
        <f>HHJ_2022_2023!L246*0.1</f>
        <v>0</v>
      </c>
      <c r="O219" s="14"/>
      <c r="R219" s="6"/>
    </row>
    <row r="220" spans="1:18" outlineLevel="2" x14ac:dyDescent="0.2">
      <c r="A220" s="182" t="s">
        <v>401</v>
      </c>
      <c r="B220" s="134">
        <f t="shared" si="33"/>
        <v>215</v>
      </c>
      <c r="C220" s="10"/>
      <c r="D220" s="10" t="s">
        <v>402</v>
      </c>
      <c r="E220" s="662">
        <f>SUBTOTAL(9,E221:E225)</f>
        <v>8300</v>
      </c>
      <c r="F220" s="856">
        <v>3668.1750000000002</v>
      </c>
      <c r="G220" s="662">
        <f>SUBTOTAL(9,G221:G225)</f>
        <v>10950</v>
      </c>
      <c r="H220" s="662">
        <f>SUBTOTAL(9,H221:H225)</f>
        <v>10000</v>
      </c>
      <c r="I220" s="662">
        <f>SUBTOTAL(9,I221:I225)</f>
        <v>0</v>
      </c>
      <c r="J220" s="21"/>
      <c r="K220" s="21"/>
      <c r="L220" s="662">
        <f>SUBTOTAL(9,L221:L225)</f>
        <v>331.2</v>
      </c>
      <c r="M220" s="662">
        <f>SUBTOTAL(9,M221:M225)</f>
        <v>1061.0730000000001</v>
      </c>
      <c r="N220" s="662">
        <f>SUBTOTAL(9,N221:N225)</f>
        <v>1088.0730000000001</v>
      </c>
      <c r="O220" s="14"/>
      <c r="Q220" s="6"/>
      <c r="R220" s="6"/>
    </row>
    <row r="221" spans="1:18" outlineLevel="3" x14ac:dyDescent="0.2">
      <c r="A221" s="183" t="s">
        <v>403</v>
      </c>
      <c r="B221" s="135">
        <f t="shared" si="33"/>
        <v>216</v>
      </c>
      <c r="C221" s="10" t="s">
        <v>404</v>
      </c>
      <c r="D221" s="13" t="s">
        <v>270</v>
      </c>
      <c r="E221" s="21">
        <f>WiWi!E21</f>
        <v>2500</v>
      </c>
      <c r="F221" s="860">
        <v>1674.1350000000002</v>
      </c>
      <c r="G221" s="21">
        <v>3400</v>
      </c>
      <c r="H221" s="21">
        <f>WiWi!I21</f>
        <v>4000</v>
      </c>
      <c r="I221" s="664">
        <v>0</v>
      </c>
      <c r="J221" s="21"/>
      <c r="K221" s="21"/>
      <c r="L221" s="21">
        <f>HHJ_2022_2023!H206*0.9</f>
        <v>242.1</v>
      </c>
      <c r="M221" s="21">
        <f>HHJ_2022_2023!J206*0.9</f>
        <v>612.87300000000005</v>
      </c>
      <c r="N221" s="21">
        <f>HHJ_2022_2023!L206*0.9</f>
        <v>612.87300000000005</v>
      </c>
      <c r="O221" s="14"/>
      <c r="R221" s="6"/>
    </row>
    <row r="222" spans="1:18" outlineLevel="3" x14ac:dyDescent="0.2">
      <c r="A222" s="183" t="s">
        <v>405</v>
      </c>
      <c r="B222" s="135">
        <f t="shared" si="33"/>
        <v>217</v>
      </c>
      <c r="C222" s="10" t="s">
        <v>406</v>
      </c>
      <c r="D222" s="13" t="s">
        <v>273</v>
      </c>
      <c r="E222" s="21">
        <f>KSW!E21</f>
        <v>2300</v>
      </c>
      <c r="F222" s="860">
        <v>216</v>
      </c>
      <c r="G222" s="21">
        <v>1800</v>
      </c>
      <c r="H222" s="21">
        <f>KSW!I21</f>
        <v>500</v>
      </c>
      <c r="I222" s="664">
        <v>0</v>
      </c>
      <c r="J222" s="21"/>
      <c r="K222" s="21"/>
      <c r="L222" s="21">
        <f>HHJ_2022_2023!H216*0.9</f>
        <v>0</v>
      </c>
      <c r="M222" s="21">
        <f>HHJ_2022_2023!J216*0.9</f>
        <v>216</v>
      </c>
      <c r="N222" s="21">
        <f>HHJ_2022_2023!L216*0.9</f>
        <v>216</v>
      </c>
      <c r="O222" s="14"/>
      <c r="Q222" s="6"/>
      <c r="R222" s="6"/>
    </row>
    <row r="223" spans="1:18" outlineLevel="3" x14ac:dyDescent="0.2">
      <c r="A223" s="183" t="s">
        <v>407</v>
      </c>
      <c r="B223" s="135">
        <f t="shared" si="33"/>
        <v>218</v>
      </c>
      <c r="C223" s="10" t="s">
        <v>408</v>
      </c>
      <c r="D223" s="13" t="s">
        <v>276</v>
      </c>
      <c r="E223" s="21">
        <f>PSY!E21</f>
        <v>1000</v>
      </c>
      <c r="F223" s="860">
        <v>27</v>
      </c>
      <c r="G223" s="21">
        <v>1000</v>
      </c>
      <c r="H223" s="21">
        <f>PSY!I21</f>
        <v>1000</v>
      </c>
      <c r="I223" s="664">
        <v>0</v>
      </c>
      <c r="J223" s="21"/>
      <c r="K223" s="21"/>
      <c r="L223" s="21">
        <f>HHJ_2022_2023!H226*0.9</f>
        <v>0</v>
      </c>
      <c r="M223" s="21">
        <f>HHJ_2022_2023!J226*0.9</f>
        <v>0</v>
      </c>
      <c r="N223" s="21">
        <f>HHJ_2022_2023!L226*0.9</f>
        <v>27</v>
      </c>
      <c r="O223" s="14"/>
      <c r="R223" s="6"/>
    </row>
    <row r="224" spans="1:18" outlineLevel="3" x14ac:dyDescent="0.2">
      <c r="A224" s="183" t="s">
        <v>409</v>
      </c>
      <c r="B224" s="135">
        <f t="shared" si="33"/>
        <v>219</v>
      </c>
      <c r="C224" s="10" t="s">
        <v>410</v>
      </c>
      <c r="D224" s="13" t="s">
        <v>279</v>
      </c>
      <c r="E224" s="21">
        <f>ReWi!E21</f>
        <v>2000</v>
      </c>
      <c r="F224" s="860">
        <v>1751.04</v>
      </c>
      <c r="G224" s="21">
        <v>3500</v>
      </c>
      <c r="H224" s="21">
        <f>ReWi!I21</f>
        <v>3000</v>
      </c>
      <c r="I224" s="664">
        <v>0</v>
      </c>
      <c r="J224" s="21"/>
      <c r="K224" s="21"/>
      <c r="L224" s="21">
        <f>HHJ_2022_2023!H236*0.9</f>
        <v>89.100000000000009</v>
      </c>
      <c r="M224" s="21">
        <f>HHJ_2022_2023!J236*0.9</f>
        <v>232.20000000000002</v>
      </c>
      <c r="N224" s="21">
        <f>HHJ_2022_2023!L236*0.9</f>
        <v>232.20000000000002</v>
      </c>
      <c r="O224" s="14"/>
      <c r="Q224" s="6"/>
      <c r="R224" s="6"/>
    </row>
    <row r="225" spans="1:18" outlineLevel="3" x14ac:dyDescent="0.2">
      <c r="A225" s="183" t="s">
        <v>411</v>
      </c>
      <c r="B225" s="135">
        <f t="shared" si="33"/>
        <v>220</v>
      </c>
      <c r="C225" s="10" t="s">
        <v>412</v>
      </c>
      <c r="D225" s="13" t="s">
        <v>282</v>
      </c>
      <c r="E225" s="21">
        <f>M_I!E21</f>
        <v>500</v>
      </c>
      <c r="F225" s="860">
        <v>0</v>
      </c>
      <c r="G225" s="21">
        <v>1250</v>
      </c>
      <c r="H225" s="21">
        <f>M_I!I21</f>
        <v>1500</v>
      </c>
      <c r="I225" s="664">
        <v>0</v>
      </c>
      <c r="J225" s="21"/>
      <c r="K225" s="21"/>
      <c r="L225" s="21">
        <f>HHJ_2022_2023!H246*0.9</f>
        <v>0</v>
      </c>
      <c r="M225" s="21">
        <f>HHJ_2022_2023!J246*0.9</f>
        <v>0</v>
      </c>
      <c r="N225" s="21">
        <f>HHJ_2022_2023!L246*0.9</f>
        <v>0</v>
      </c>
      <c r="O225" s="14"/>
      <c r="R225" s="6"/>
    </row>
    <row r="226" spans="1:18" outlineLevel="2" x14ac:dyDescent="0.2">
      <c r="B226" s="131">
        <f t="shared" si="33"/>
        <v>221</v>
      </c>
      <c r="F226" s="25"/>
      <c r="J226" s="14"/>
      <c r="K226" s="14"/>
      <c r="L226" s="14"/>
      <c r="M226" s="14"/>
      <c r="N226" s="14"/>
      <c r="O226" s="14"/>
      <c r="Q226" s="6"/>
      <c r="R226" s="6"/>
    </row>
    <row r="227" spans="1:18" outlineLevel="1" x14ac:dyDescent="0.2">
      <c r="B227" s="131">
        <f>ROW(B222)</f>
        <v>222</v>
      </c>
      <c r="F227" s="25"/>
      <c r="J227" s="14"/>
      <c r="K227" s="14"/>
      <c r="L227" s="14"/>
      <c r="M227" s="14"/>
      <c r="N227" s="14"/>
      <c r="O227" s="14"/>
      <c r="R227" s="6"/>
    </row>
    <row r="228" spans="1:18" outlineLevel="1" x14ac:dyDescent="0.2">
      <c r="A228" s="181" t="s">
        <v>413</v>
      </c>
      <c r="B228" s="133">
        <f>ROW(B222)</f>
        <v>222</v>
      </c>
      <c r="C228" s="9"/>
      <c r="D228" s="9" t="s">
        <v>414</v>
      </c>
      <c r="E228" s="20">
        <f>SUBTOTAL(9,E229:E236)</f>
        <v>229988</v>
      </c>
      <c r="F228" s="665">
        <v>34491.941999999995</v>
      </c>
      <c r="G228" s="20">
        <f>SUBTOTAL(9,G229:G236)</f>
        <v>88700</v>
      </c>
      <c r="H228" s="20">
        <f>SUBTOTAL(9,H229:H236)</f>
        <v>27850</v>
      </c>
      <c r="I228" s="20">
        <f>SUBTOTAL(9,I229:I236)</f>
        <v>21966.350000000002</v>
      </c>
      <c r="J228" s="20"/>
      <c r="K228" s="20"/>
      <c r="L228" s="20">
        <f>SUBTOTAL(9,L229:L236)</f>
        <v>1882.4660000000001</v>
      </c>
      <c r="M228" s="20">
        <f>SUBTOTAL(9,M229:M236)</f>
        <v>10762.096000000001</v>
      </c>
      <c r="N228" s="20">
        <f>SUBTOTAL(9,N229:N236)</f>
        <v>11019.136</v>
      </c>
      <c r="O228" s="14"/>
      <c r="Q228" s="6"/>
      <c r="R228" s="6"/>
    </row>
    <row r="229" spans="1:18" outlineLevel="2" x14ac:dyDescent="0.2">
      <c r="A229" s="182" t="s">
        <v>415</v>
      </c>
      <c r="B229" s="134">
        <f>ROW(B223)</f>
        <v>223</v>
      </c>
      <c r="C229" s="10" t="s">
        <v>416</v>
      </c>
      <c r="D229" s="13" t="s">
        <v>417</v>
      </c>
      <c r="E229" s="980">
        <f>'Leistungen Dritter'!D16</f>
        <v>5000</v>
      </c>
      <c r="F229" s="860">
        <v>3612.89</v>
      </c>
      <c r="G229" s="21">
        <v>5000</v>
      </c>
      <c r="H229" s="21">
        <f>'Leistungen Dritter'!D5</f>
        <v>5000</v>
      </c>
      <c r="I229" s="664">
        <v>3663.15</v>
      </c>
      <c r="J229" s="21"/>
      <c r="K229" s="21"/>
      <c r="L229" s="21">
        <f>HHJ_2022_2023!H87</f>
        <v>273.11</v>
      </c>
      <c r="M229" s="21">
        <f>HHJ_2022_2023!J87</f>
        <v>546.22</v>
      </c>
      <c r="N229" s="21">
        <f>HHJ_2022_2023!L87</f>
        <v>803.26</v>
      </c>
      <c r="O229" s="14"/>
      <c r="R229" s="6"/>
    </row>
    <row r="230" spans="1:18" outlineLevel="2" x14ac:dyDescent="0.2">
      <c r="A230" s="182" t="s">
        <v>418</v>
      </c>
      <c r="B230" s="134">
        <f>ROW(B224)</f>
        <v>224</v>
      </c>
      <c r="C230" s="10" t="s">
        <v>419</v>
      </c>
      <c r="D230" s="10" t="s">
        <v>420</v>
      </c>
      <c r="E230" s="982">
        <v>2000</v>
      </c>
      <c r="F230" s="853">
        <v>1561.88</v>
      </c>
      <c r="G230" s="21">
        <v>2500</v>
      </c>
      <c r="H230" s="21">
        <v>500</v>
      </c>
      <c r="I230" s="664">
        <v>1517.25</v>
      </c>
      <c r="J230" s="21"/>
      <c r="K230" s="21"/>
      <c r="L230" s="21">
        <f>HHJ_2022_2023!H88</f>
        <v>1071</v>
      </c>
      <c r="M230" s="21">
        <f>HHJ_2022_2023!J88</f>
        <v>1071</v>
      </c>
      <c r="N230" s="21">
        <f>HHJ_2022_2023!L88</f>
        <v>1071</v>
      </c>
      <c r="O230" s="14"/>
      <c r="Q230" s="6"/>
      <c r="R230" s="6"/>
    </row>
    <row r="231" spans="1:18" outlineLevel="2" x14ac:dyDescent="0.2">
      <c r="A231" s="182" t="s">
        <v>421</v>
      </c>
      <c r="B231" s="134">
        <f>ROW(B225)</f>
        <v>225</v>
      </c>
      <c r="C231" s="10" t="s">
        <v>422</v>
      </c>
      <c r="D231" s="13" t="s">
        <v>423</v>
      </c>
      <c r="E231" s="980">
        <f>'Leistungen Dritter'!K34</f>
        <v>85538</v>
      </c>
      <c r="F231" s="860">
        <v>6826.4119999999994</v>
      </c>
      <c r="G231" s="21">
        <v>18750</v>
      </c>
      <c r="H231" s="21">
        <v>8900</v>
      </c>
      <c r="I231" s="664">
        <v>8863.92</v>
      </c>
      <c r="J231" s="21"/>
      <c r="K231" s="21"/>
      <c r="L231" s="21">
        <f>(HHJ_2022_2023!H75*0.6)+HHJ_2022_2023!H77</f>
        <v>538.35599999999999</v>
      </c>
      <c r="M231" s="21">
        <f>(HHJ_2022_2023!J75*0.6)+HHJ_2022_2023!J77</f>
        <v>1122.4859999999999</v>
      </c>
      <c r="N231" s="21">
        <f>(HHJ_2022_2023!L75*0.6)+HHJ_2022_2023!L77</f>
        <v>1122.4859999999999</v>
      </c>
      <c r="O231" s="14"/>
      <c r="P231" t="s">
        <v>1364</v>
      </c>
      <c r="R231" s="6"/>
    </row>
    <row r="232" spans="1:18" outlineLevel="2" x14ac:dyDescent="0.2">
      <c r="A232" s="182" t="s">
        <v>424</v>
      </c>
      <c r="B232" s="134">
        <f>ROW(B226)</f>
        <v>226</v>
      </c>
      <c r="C232" s="10" t="s">
        <v>41</v>
      </c>
      <c r="D232" s="10" t="s">
        <v>425</v>
      </c>
      <c r="E232" s="982">
        <v>55000</v>
      </c>
      <c r="F232" s="853">
        <v>0</v>
      </c>
      <c r="G232" s="21">
        <v>500</v>
      </c>
      <c r="H232" s="21">
        <v>0</v>
      </c>
      <c r="I232" s="663">
        <v>0</v>
      </c>
      <c r="J232" s="21"/>
      <c r="K232" s="21"/>
      <c r="L232" s="21"/>
      <c r="M232" s="21"/>
      <c r="N232" s="21"/>
      <c r="O232" s="14"/>
      <c r="P232" t="s">
        <v>1363</v>
      </c>
      <c r="Q232" s="6"/>
      <c r="R232" s="6"/>
    </row>
    <row r="233" spans="1:18" outlineLevel="2" x14ac:dyDescent="0.2">
      <c r="A233" s="182" t="s">
        <v>426</v>
      </c>
      <c r="B233" s="134">
        <f t="shared" si="33"/>
        <v>228</v>
      </c>
      <c r="C233" s="10" t="s">
        <v>427</v>
      </c>
      <c r="D233" s="10" t="s">
        <v>428</v>
      </c>
      <c r="E233" s="982">
        <v>25000</v>
      </c>
      <c r="F233" s="853">
        <v>22490.76</v>
      </c>
      <c r="G233" s="21">
        <v>25000</v>
      </c>
      <c r="H233" s="21">
        <v>10500</v>
      </c>
      <c r="I233" s="664">
        <v>7761.38</v>
      </c>
      <c r="J233" s="21"/>
      <c r="K233" s="21"/>
      <c r="L233" s="21">
        <f>HHJ_2022_2023!H86+HHJ_2022_2023!H176</f>
        <v>0</v>
      </c>
      <c r="M233" s="21">
        <f>HHJ_2022_2023!J86+HHJ_2022_2023!J176</f>
        <v>8022.39</v>
      </c>
      <c r="N233" s="21">
        <f>HHJ_2022_2023!L86+HHJ_2022_2023!L176</f>
        <v>8022.39</v>
      </c>
      <c r="O233" s="14"/>
      <c r="R233" s="6"/>
    </row>
    <row r="234" spans="1:18" outlineLevel="2" x14ac:dyDescent="0.2">
      <c r="A234" s="182" t="s">
        <v>429</v>
      </c>
      <c r="B234" s="134">
        <f t="shared" si="33"/>
        <v>229</v>
      </c>
      <c r="C234" s="10" t="s">
        <v>41</v>
      </c>
      <c r="D234" s="10" t="s">
        <v>430</v>
      </c>
      <c r="E234" s="982">
        <v>5000</v>
      </c>
      <c r="F234" s="853">
        <v>0</v>
      </c>
      <c r="G234" s="21">
        <v>10000</v>
      </c>
      <c r="H234" s="21">
        <v>0</v>
      </c>
      <c r="I234" s="663">
        <v>0</v>
      </c>
      <c r="J234" s="21"/>
      <c r="K234" s="21"/>
      <c r="L234" s="21"/>
      <c r="M234" s="21"/>
      <c r="N234" s="21"/>
      <c r="O234" s="14"/>
      <c r="Q234" s="6"/>
      <c r="R234" s="6"/>
    </row>
    <row r="235" spans="1:18" outlineLevel="2" x14ac:dyDescent="0.2">
      <c r="A235" s="182" t="s">
        <v>431</v>
      </c>
      <c r="B235" s="134">
        <f>ROW(B230)</f>
        <v>230</v>
      </c>
      <c r="C235" s="10" t="s">
        <v>432</v>
      </c>
      <c r="D235" s="10" t="s">
        <v>433</v>
      </c>
      <c r="E235" s="982">
        <f>WiWi!E22+KSW!E22+PSY!E22+ReWi!E22+M_I!E22</f>
        <v>2450</v>
      </c>
      <c r="F235" s="853">
        <v>0</v>
      </c>
      <c r="G235" s="21">
        <v>2950</v>
      </c>
      <c r="H235" s="21">
        <f>WiWi!G22+KSW!I22+PSY!I22+ReWi!I22+M_I!I22</f>
        <v>2950</v>
      </c>
      <c r="I235" s="664">
        <f>WiWi!J22+KSW!J22+PSY!J22+ReWi!J22+M_I!J22</f>
        <v>160.65</v>
      </c>
      <c r="J235" s="21"/>
      <c r="K235" s="21"/>
      <c r="L235" s="21">
        <f>HHJ_2022_2023!H207+HHJ_2022_2023!H217+HHJ_2022_2023!H227+HHJ_2022_2023!H237+HHJ_2022_2023!H247</f>
        <v>0</v>
      </c>
      <c r="M235" s="21">
        <f>HHJ_2022_2023!J207+HHJ_2022_2023!J217+HHJ_2022_2023!J227+HHJ_2022_2023!J237+HHJ_2022_2023!J247</f>
        <v>0</v>
      </c>
      <c r="N235" s="21">
        <f>HHJ_2022_2023!L207+HHJ_2022_2023!L217+HHJ_2022_2023!L227+HHJ_2022_2023!L237+HHJ_2022_2023!L247</f>
        <v>0</v>
      </c>
      <c r="O235" s="14"/>
      <c r="R235" s="6"/>
    </row>
    <row r="236" spans="1:18" outlineLevel="2" x14ac:dyDescent="0.2">
      <c r="A236" s="182" t="s">
        <v>434</v>
      </c>
      <c r="B236" s="134">
        <f>ROW(B231)</f>
        <v>231</v>
      </c>
      <c r="C236" s="10" t="s">
        <v>41</v>
      </c>
      <c r="D236" s="10" t="s">
        <v>435</v>
      </c>
      <c r="E236" s="982">
        <v>50000</v>
      </c>
      <c r="F236" s="853">
        <v>0</v>
      </c>
      <c r="G236" s="21">
        <v>24000</v>
      </c>
      <c r="H236" s="21">
        <v>0</v>
      </c>
      <c r="I236" s="663">
        <v>0</v>
      </c>
      <c r="J236" s="21"/>
      <c r="K236" s="21"/>
      <c r="L236" s="21"/>
      <c r="M236" s="21"/>
      <c r="N236" s="21"/>
      <c r="O236" s="14"/>
      <c r="P236" t="s">
        <v>1365</v>
      </c>
      <c r="Q236" s="6"/>
      <c r="R236" s="6"/>
    </row>
    <row r="237" spans="1:18" outlineLevel="1" x14ac:dyDescent="0.2">
      <c r="B237" s="131">
        <f>ROW(B231)</f>
        <v>231</v>
      </c>
      <c r="F237" s="25"/>
      <c r="J237" s="14"/>
      <c r="K237" s="14"/>
      <c r="L237" s="14"/>
      <c r="M237" s="14"/>
      <c r="N237" s="14"/>
      <c r="O237" s="14"/>
      <c r="R237" s="6"/>
    </row>
    <row r="238" spans="1:18" outlineLevel="1" x14ac:dyDescent="0.2">
      <c r="A238" s="181" t="s">
        <v>436</v>
      </c>
      <c r="B238" s="133">
        <f>ROW(B232)</f>
        <v>232</v>
      </c>
      <c r="C238" s="9"/>
      <c r="D238" s="9" t="s">
        <v>437</v>
      </c>
      <c r="E238" s="20">
        <f>SUBTOTAL(9,E239:E247)</f>
        <v>142650</v>
      </c>
      <c r="F238" s="665">
        <v>0</v>
      </c>
      <c r="G238" s="20">
        <f>SUBTOTAL(9,G239:G247)</f>
        <v>142650</v>
      </c>
      <c r="H238" s="20">
        <f>SUBTOTAL(9,H239:H247)</f>
        <v>1700</v>
      </c>
      <c r="I238" s="20">
        <f>SUBTOTAL(9,I239:I247)</f>
        <v>39511.550000000003</v>
      </c>
      <c r="J238" s="20"/>
      <c r="K238" s="20"/>
      <c r="L238" s="20">
        <f>SUBTOTAL(9,L239:L247)</f>
        <v>0</v>
      </c>
      <c r="M238" s="20">
        <f>SUBTOTAL(9,M239:M247)</f>
        <v>0</v>
      </c>
      <c r="N238" s="20">
        <f>SUBTOTAL(9,N239:N247)</f>
        <v>0</v>
      </c>
      <c r="O238" s="14"/>
      <c r="Q238" s="6"/>
      <c r="R238" s="6"/>
    </row>
    <row r="239" spans="1:18" outlineLevel="3" x14ac:dyDescent="0.2">
      <c r="A239" s="182" t="s">
        <v>438</v>
      </c>
      <c r="B239" s="134">
        <f>ROW(B233)</f>
        <v>233</v>
      </c>
      <c r="C239" s="10" t="s">
        <v>439</v>
      </c>
      <c r="D239" s="10" t="s">
        <v>440</v>
      </c>
      <c r="E239" s="979">
        <v>5600</v>
      </c>
      <c r="F239" s="853">
        <v>0</v>
      </c>
      <c r="G239" s="21">
        <v>5600</v>
      </c>
      <c r="H239" s="21">
        <v>800</v>
      </c>
      <c r="I239" s="664">
        <f>HHJ_2021_2022!R139</f>
        <v>800</v>
      </c>
      <c r="J239" s="21"/>
      <c r="K239" s="21"/>
      <c r="L239" s="21">
        <f>HHJ_2022_2023!H139</f>
        <v>0</v>
      </c>
      <c r="M239" s="21">
        <f>HHJ_2022_2023!J139</f>
        <v>0</v>
      </c>
      <c r="N239" s="21">
        <f>HHJ_2022_2023!L139</f>
        <v>0</v>
      </c>
      <c r="O239" s="14"/>
      <c r="R239" s="6"/>
    </row>
    <row r="240" spans="1:18" outlineLevel="3" x14ac:dyDescent="0.2">
      <c r="A240" s="182" t="s">
        <v>441</v>
      </c>
      <c r="B240" s="134">
        <f>ROW(B234)</f>
        <v>234</v>
      </c>
      <c r="C240" s="10" t="s">
        <v>442</v>
      </c>
      <c r="D240" s="10" t="s">
        <v>443</v>
      </c>
      <c r="E240" s="979">
        <v>3000</v>
      </c>
      <c r="F240" s="853">
        <v>0</v>
      </c>
      <c r="G240" s="21">
        <v>3000</v>
      </c>
      <c r="H240" s="21">
        <v>500</v>
      </c>
      <c r="I240" s="664">
        <v>595</v>
      </c>
      <c r="J240" s="21"/>
      <c r="K240" s="21"/>
      <c r="L240" s="21">
        <f>HHJ_2022_2023!H140</f>
        <v>0</v>
      </c>
      <c r="M240" s="21">
        <f>HHJ_2022_2023!J140</f>
        <v>0</v>
      </c>
      <c r="N240" s="21">
        <f>HHJ_2022_2023!L140</f>
        <v>0</v>
      </c>
      <c r="O240" s="14"/>
      <c r="Q240" s="6"/>
      <c r="R240" s="6"/>
    </row>
    <row r="241" spans="1:18" outlineLevel="3" x14ac:dyDescent="0.2">
      <c r="A241" s="182" t="s">
        <v>444</v>
      </c>
      <c r="B241" s="134">
        <f>ROW(B235)</f>
        <v>235</v>
      </c>
      <c r="C241" s="10" t="s">
        <v>445</v>
      </c>
      <c r="D241" s="10" t="s">
        <v>446</v>
      </c>
      <c r="E241" s="979">
        <v>2000</v>
      </c>
      <c r="F241" s="853">
        <v>0</v>
      </c>
      <c r="G241" s="21">
        <v>2000</v>
      </c>
      <c r="H241" s="21">
        <v>300</v>
      </c>
      <c r="I241" s="664">
        <f>HHJ_2021_2022!R142</f>
        <v>504.35</v>
      </c>
      <c r="J241" s="21"/>
      <c r="K241" s="21"/>
      <c r="L241" s="21">
        <f>HHJ_2022_2023!H142</f>
        <v>0</v>
      </c>
      <c r="M241" s="21">
        <f>HHJ_2022_2023!J142</f>
        <v>0</v>
      </c>
      <c r="N241" s="21">
        <f>HHJ_2022_2023!L142</f>
        <v>0</v>
      </c>
      <c r="O241" s="14"/>
      <c r="R241" s="6"/>
    </row>
    <row r="242" spans="1:18" outlineLevel="3" x14ac:dyDescent="0.2">
      <c r="A242" s="182" t="s">
        <v>447</v>
      </c>
      <c r="B242" s="134">
        <f t="shared" si="33"/>
        <v>237</v>
      </c>
      <c r="C242" s="10" t="s">
        <v>448</v>
      </c>
      <c r="D242" s="10" t="s">
        <v>449</v>
      </c>
      <c r="E242" s="979">
        <v>2000</v>
      </c>
      <c r="F242" s="853">
        <v>0</v>
      </c>
      <c r="G242" s="21">
        <v>2000</v>
      </c>
      <c r="H242" s="21">
        <v>100</v>
      </c>
      <c r="I242" s="664">
        <v>8374.25</v>
      </c>
      <c r="J242" s="21"/>
      <c r="K242" s="21"/>
      <c r="L242" s="21">
        <f>HHJ_2022_2023!H143</f>
        <v>0</v>
      </c>
      <c r="M242" s="21">
        <f>HHJ_2022_2023!J143</f>
        <v>0</v>
      </c>
      <c r="N242" s="21">
        <f>HHJ_2022_2023!L143</f>
        <v>0</v>
      </c>
      <c r="O242" s="14"/>
      <c r="Q242" s="6"/>
      <c r="R242" s="6"/>
    </row>
    <row r="243" spans="1:18" outlineLevel="3" x14ac:dyDescent="0.2">
      <c r="A243" s="182" t="s">
        <v>450</v>
      </c>
      <c r="B243" s="134">
        <f t="shared" si="33"/>
        <v>238</v>
      </c>
      <c r="C243" s="10" t="s">
        <v>451</v>
      </c>
      <c r="D243" s="10" t="s">
        <v>452</v>
      </c>
      <c r="E243" s="979">
        <v>19900</v>
      </c>
      <c r="F243" s="853">
        <v>0</v>
      </c>
      <c r="G243" s="21">
        <v>19900</v>
      </c>
      <c r="H243" s="21">
        <v>0</v>
      </c>
      <c r="I243" s="664">
        <v>0</v>
      </c>
      <c r="J243" s="21"/>
      <c r="K243" s="21"/>
      <c r="L243" s="21">
        <f>HHJ_2022_2023!H148*0.995</f>
        <v>0</v>
      </c>
      <c r="M243" s="21">
        <f>HHJ_2022_2023!J148*0.995</f>
        <v>0</v>
      </c>
      <c r="N243" s="21">
        <f>HHJ_2022_2023!L148*0.995</f>
        <v>0</v>
      </c>
      <c r="O243" s="14"/>
      <c r="R243" s="6"/>
    </row>
    <row r="244" spans="1:18" outlineLevel="3" x14ac:dyDescent="0.2">
      <c r="A244" s="182" t="s">
        <v>453</v>
      </c>
      <c r="B244" s="134">
        <f t="shared" si="33"/>
        <v>239</v>
      </c>
      <c r="C244" s="10" t="s">
        <v>454</v>
      </c>
      <c r="D244" s="10" t="s">
        <v>455</v>
      </c>
      <c r="E244" s="979">
        <v>45000</v>
      </c>
      <c r="F244" s="853">
        <v>0</v>
      </c>
      <c r="G244" s="21">
        <v>45000</v>
      </c>
      <c r="H244" s="21">
        <v>0</v>
      </c>
      <c r="I244" s="664">
        <f>HHJ_2021_2022!R146</f>
        <v>0</v>
      </c>
      <c r="J244" s="21"/>
      <c r="K244" s="21"/>
      <c r="L244" s="21">
        <f>HHJ_2022_2023!H147</f>
        <v>0</v>
      </c>
      <c r="M244" s="21">
        <f>HHJ_2022_2023!J147</f>
        <v>0</v>
      </c>
      <c r="N244" s="21">
        <f>HHJ_2022_2023!L147</f>
        <v>0</v>
      </c>
      <c r="O244" s="14"/>
      <c r="Q244" s="6"/>
      <c r="R244" s="6"/>
    </row>
    <row r="245" spans="1:18" outlineLevel="3" x14ac:dyDescent="0.2">
      <c r="A245" s="182" t="s">
        <v>456</v>
      </c>
      <c r="B245" s="134">
        <f t="shared" si="33"/>
        <v>240</v>
      </c>
      <c r="C245" s="10" t="s">
        <v>457</v>
      </c>
      <c r="D245" s="10" t="s">
        <v>458</v>
      </c>
      <c r="E245" s="979">
        <v>65000</v>
      </c>
      <c r="F245" s="853">
        <v>0</v>
      </c>
      <c r="G245" s="21">
        <v>65000</v>
      </c>
      <c r="H245" s="21">
        <v>0</v>
      </c>
      <c r="I245" s="664">
        <f>HHJ_2021_2022!R147</f>
        <v>0</v>
      </c>
      <c r="J245" s="21"/>
      <c r="K245" s="21"/>
      <c r="L245" s="21">
        <f>HHJ_2022_2023!H146</f>
        <v>0</v>
      </c>
      <c r="M245" s="21">
        <f>HHJ_2022_2023!J146</f>
        <v>0</v>
      </c>
      <c r="N245" s="21">
        <f>HHJ_2022_2023!L146</f>
        <v>0</v>
      </c>
      <c r="O245" s="14"/>
      <c r="R245" s="6"/>
    </row>
    <row r="246" spans="1:18" outlineLevel="3" x14ac:dyDescent="0.2">
      <c r="A246" s="182" t="s">
        <v>459</v>
      </c>
      <c r="B246" s="134">
        <f t="shared" si="33"/>
        <v>241</v>
      </c>
      <c r="C246" s="10" t="s">
        <v>460</v>
      </c>
      <c r="D246" s="10" t="s">
        <v>461</v>
      </c>
      <c r="E246" s="979">
        <v>50</v>
      </c>
      <c r="F246" s="853">
        <v>0</v>
      </c>
      <c r="G246" s="21">
        <v>50</v>
      </c>
      <c r="H246" s="21">
        <v>0</v>
      </c>
      <c r="I246" s="664">
        <v>19.95</v>
      </c>
      <c r="J246" s="21"/>
      <c r="K246" s="21"/>
      <c r="L246" s="21">
        <f>HHJ_2022_2023!H149</f>
        <v>0</v>
      </c>
      <c r="M246" s="21">
        <f>HHJ_2022_2023!J149</f>
        <v>0</v>
      </c>
      <c r="N246" s="21">
        <f>HHJ_2022_2023!L149</f>
        <v>0</v>
      </c>
      <c r="O246" s="14"/>
      <c r="Q246" s="6"/>
      <c r="R246" s="6"/>
    </row>
    <row r="247" spans="1:18" outlineLevel="3" x14ac:dyDescent="0.2">
      <c r="A247" s="182" t="s">
        <v>462</v>
      </c>
      <c r="B247" s="134">
        <f t="shared" si="33"/>
        <v>242</v>
      </c>
      <c r="C247" s="10" t="s">
        <v>463</v>
      </c>
      <c r="D247" s="10" t="s">
        <v>464</v>
      </c>
      <c r="E247" s="979">
        <v>100</v>
      </c>
      <c r="F247" s="853">
        <v>0</v>
      </c>
      <c r="G247" s="21">
        <v>100</v>
      </c>
      <c r="H247" s="21">
        <v>0</v>
      </c>
      <c r="I247" s="664">
        <v>29218</v>
      </c>
      <c r="J247" s="21"/>
      <c r="K247" s="21"/>
      <c r="L247" s="21">
        <f>HHJ_2022_2023!H148*0.005</f>
        <v>0</v>
      </c>
      <c r="M247" s="21">
        <f>HHJ_2022_2023!J148*0.005</f>
        <v>0</v>
      </c>
      <c r="N247" s="21">
        <f>HHJ_2022_2023!L148*0.005</f>
        <v>0</v>
      </c>
      <c r="O247" s="14"/>
      <c r="R247" s="6"/>
    </row>
    <row r="248" spans="1:18" outlineLevel="1" x14ac:dyDescent="0.2">
      <c r="B248" s="131">
        <f t="shared" si="33"/>
        <v>243</v>
      </c>
      <c r="F248" s="25"/>
      <c r="J248" s="14"/>
      <c r="K248" s="14"/>
      <c r="L248" s="14"/>
      <c r="M248" s="14"/>
      <c r="N248" s="14"/>
      <c r="O248" s="14"/>
      <c r="Q248" s="6"/>
      <c r="R248" s="6"/>
    </row>
    <row r="249" spans="1:18" x14ac:dyDescent="0.2">
      <c r="B249" s="131">
        <f t="shared" si="33"/>
        <v>244</v>
      </c>
      <c r="F249" s="25"/>
      <c r="J249" s="14"/>
      <c r="K249" s="14"/>
      <c r="L249" s="14"/>
      <c r="M249" s="14"/>
      <c r="N249" s="14"/>
      <c r="O249" s="14"/>
      <c r="R249" s="6"/>
    </row>
    <row r="250" spans="1:18" x14ac:dyDescent="0.2">
      <c r="A250" s="138" t="s">
        <v>465</v>
      </c>
      <c r="B250" s="132">
        <f t="shared" si="33"/>
        <v>245</v>
      </c>
      <c r="C250" s="8"/>
      <c r="D250" s="8" t="s">
        <v>466</v>
      </c>
      <c r="E250" s="19">
        <f>SUBTOTAL(9,E252:E267)</f>
        <v>220450.25</v>
      </c>
      <c r="F250" s="855">
        <v>115564.25</v>
      </c>
      <c r="G250" s="19">
        <f>SUBTOTAL(9,G252:G267)</f>
        <v>223575</v>
      </c>
      <c r="H250" s="19">
        <f>SUBTOTAL(9,H252:H267)</f>
        <v>222589.02</v>
      </c>
      <c r="I250" s="19">
        <f>SUBTOTAL(9,I252:I267)</f>
        <v>193828.68</v>
      </c>
      <c r="J250" s="19"/>
      <c r="K250" s="19"/>
      <c r="L250" s="19">
        <f>SUBTOTAL(9,L252:L267)</f>
        <v>14474.73</v>
      </c>
      <c r="M250" s="19">
        <f>SUBTOTAL(9,M252:M267)</f>
        <v>26384.73</v>
      </c>
      <c r="N250" s="19">
        <f>SUBTOTAL(9,N252:N267)</f>
        <v>27195.97</v>
      </c>
      <c r="O250" s="14"/>
      <c r="Q250" s="6"/>
      <c r="R250" s="6"/>
    </row>
    <row r="251" spans="1:18" outlineLevel="1" x14ac:dyDescent="0.2">
      <c r="A251" s="181" t="s">
        <v>467</v>
      </c>
      <c r="B251" s="133">
        <f t="shared" si="33"/>
        <v>246</v>
      </c>
      <c r="C251" s="9"/>
      <c r="D251" s="9" t="s">
        <v>468</v>
      </c>
      <c r="E251" s="20">
        <f>SUBTOTAL(9,E252:E259)</f>
        <v>18150</v>
      </c>
      <c r="F251" s="665">
        <v>17873.52</v>
      </c>
      <c r="G251" s="20">
        <f>SUBTOTAL(9,G252:G259)</f>
        <v>95200</v>
      </c>
      <c r="H251" s="20">
        <f>SUBTOTAL(9,H252:H259)</f>
        <v>119300</v>
      </c>
      <c r="I251" s="20">
        <f>SUBTOTAL(9,I252:I259)</f>
        <v>90539.66</v>
      </c>
      <c r="J251" s="20"/>
      <c r="K251" s="20"/>
      <c r="L251" s="20">
        <f>SUBTOTAL(9,L252:L259)</f>
        <v>6274.73</v>
      </c>
      <c r="M251" s="20">
        <f>SUBTOTAL(9,M252:M259)</f>
        <v>9984.73</v>
      </c>
      <c r="N251" s="20">
        <f>SUBTOTAL(9,N252:N259)</f>
        <v>10770.97</v>
      </c>
      <c r="O251" s="14"/>
      <c r="R251" s="6"/>
    </row>
    <row r="252" spans="1:18" outlineLevel="2" x14ac:dyDescent="0.2">
      <c r="A252" s="182" t="s">
        <v>469</v>
      </c>
      <c r="B252" s="134">
        <f t="shared" ref="B252:B282" si="34">ROW(B247)</f>
        <v>247</v>
      </c>
      <c r="C252" s="10" t="s">
        <v>41</v>
      </c>
      <c r="D252" s="10" t="s">
        <v>470</v>
      </c>
      <c r="E252" s="21">
        <v>3000</v>
      </c>
      <c r="F252" s="853">
        <v>0</v>
      </c>
      <c r="G252" s="21">
        <v>3000</v>
      </c>
      <c r="H252" s="21">
        <v>0</v>
      </c>
      <c r="I252" s="21">
        <v>0</v>
      </c>
      <c r="J252" s="21"/>
      <c r="K252" s="21"/>
      <c r="L252" s="21"/>
      <c r="M252" s="21"/>
      <c r="N252" s="21"/>
      <c r="O252" s="14"/>
      <c r="Q252" s="6"/>
      <c r="R252" s="6"/>
    </row>
    <row r="253" spans="1:18" outlineLevel="2" x14ac:dyDescent="0.2">
      <c r="A253" s="182" t="s">
        <v>471</v>
      </c>
      <c r="B253" s="134">
        <f t="shared" si="34"/>
        <v>248</v>
      </c>
      <c r="C253" s="10" t="s">
        <v>41</v>
      </c>
      <c r="D253" s="10" t="s">
        <v>472</v>
      </c>
      <c r="E253" s="21">
        <v>8000</v>
      </c>
      <c r="F253" s="853">
        <v>0</v>
      </c>
      <c r="G253" s="21">
        <v>8000</v>
      </c>
      <c r="H253" s="21">
        <v>0</v>
      </c>
      <c r="I253" s="21">
        <v>0</v>
      </c>
      <c r="J253" s="21"/>
      <c r="K253" s="21"/>
      <c r="L253" s="21"/>
      <c r="M253" s="21"/>
      <c r="N253" s="21"/>
      <c r="O253" s="14"/>
      <c r="R253" s="6"/>
    </row>
    <row r="254" spans="1:18" outlineLevel="2" x14ac:dyDescent="0.2">
      <c r="A254" s="182" t="s">
        <v>473</v>
      </c>
      <c r="B254" s="134">
        <f t="shared" si="34"/>
        <v>249</v>
      </c>
      <c r="C254" s="10" t="s">
        <v>474</v>
      </c>
      <c r="D254" s="13" t="s">
        <v>475</v>
      </c>
      <c r="E254" s="981">
        <v>0</v>
      </c>
      <c r="F254" s="860">
        <v>0</v>
      </c>
      <c r="G254" s="21">
        <f>Lerngruppen_ges.</f>
        <v>0</v>
      </c>
      <c r="H254" s="21">
        <v>60000</v>
      </c>
      <c r="I254" s="664">
        <v>44554.29</v>
      </c>
      <c r="J254" s="21"/>
      <c r="K254" s="21"/>
      <c r="L254" s="21">
        <f>HHJ_2022_2023!H249</f>
        <v>3143.25</v>
      </c>
      <c r="M254" s="21">
        <f>HHJ_2022_2023!J249</f>
        <v>5783.25</v>
      </c>
      <c r="N254" s="21">
        <f>HHJ_2022_2023!L249</f>
        <v>5783.25</v>
      </c>
      <c r="O254" s="14"/>
      <c r="Q254" s="6"/>
      <c r="R254" s="6"/>
    </row>
    <row r="255" spans="1:18" outlineLevel="2" x14ac:dyDescent="0.2">
      <c r="A255" s="182" t="s">
        <v>476</v>
      </c>
      <c r="B255" s="134">
        <f t="shared" si="34"/>
        <v>250</v>
      </c>
      <c r="C255" s="10" t="s">
        <v>477</v>
      </c>
      <c r="D255" s="13" t="s">
        <v>478</v>
      </c>
      <c r="E255" s="981">
        <v>0</v>
      </c>
      <c r="F255" s="860">
        <v>0</v>
      </c>
      <c r="G255" s="21">
        <v>76000</v>
      </c>
      <c r="H255" s="21">
        <v>50000</v>
      </c>
      <c r="I255" s="664">
        <v>45570</v>
      </c>
      <c r="J255" s="21"/>
      <c r="K255" s="21"/>
      <c r="L255" s="21">
        <f>HHJ_2022_2023!H250</f>
        <v>2700</v>
      </c>
      <c r="M255" s="21">
        <f>HHJ_2022_2023!J250</f>
        <v>3770</v>
      </c>
      <c r="N255" s="21">
        <f>HHJ_2022_2023!L250</f>
        <v>4470</v>
      </c>
      <c r="O255" s="14"/>
      <c r="R255" s="6"/>
    </row>
    <row r="256" spans="1:18" outlineLevel="2" x14ac:dyDescent="0.2">
      <c r="A256" s="182" t="s">
        <v>479</v>
      </c>
      <c r="B256" s="134">
        <f t="shared" si="34"/>
        <v>251</v>
      </c>
      <c r="C256" s="10" t="s">
        <v>480</v>
      </c>
      <c r="D256" s="13" t="s">
        <v>481</v>
      </c>
      <c r="E256" s="21">
        <f>Campus_Bew.</f>
        <v>7000</v>
      </c>
      <c r="F256" s="860">
        <v>1250.27</v>
      </c>
      <c r="G256" s="21">
        <f>Campus_Bew.</f>
        <v>7000</v>
      </c>
      <c r="H256" s="21">
        <v>8000</v>
      </c>
      <c r="I256" s="664">
        <v>265.37</v>
      </c>
      <c r="J256" s="21"/>
      <c r="K256" s="21"/>
      <c r="L256" s="21">
        <f>HHJ_2022_2023!H251</f>
        <v>431.48</v>
      </c>
      <c r="M256" s="21">
        <f>HHJ_2022_2023!J251</f>
        <v>431.48</v>
      </c>
      <c r="N256" s="21">
        <f>HHJ_2022_2023!L251</f>
        <v>517.72</v>
      </c>
      <c r="O256" s="14"/>
      <c r="Q256" s="6"/>
      <c r="R256" s="6"/>
    </row>
    <row r="257" spans="1:18" outlineLevel="2" x14ac:dyDescent="0.2">
      <c r="A257" s="182" t="s">
        <v>482</v>
      </c>
      <c r="B257" s="134">
        <f t="shared" si="34"/>
        <v>252</v>
      </c>
      <c r="C257" s="10" t="s">
        <v>483</v>
      </c>
      <c r="D257" s="10" t="s">
        <v>484</v>
      </c>
      <c r="E257" s="21">
        <v>150</v>
      </c>
      <c r="F257" s="853">
        <v>150</v>
      </c>
      <c r="G257" s="21">
        <v>500</v>
      </c>
      <c r="H257" s="21">
        <v>200</v>
      </c>
      <c r="I257" s="664">
        <v>150</v>
      </c>
      <c r="J257" s="21"/>
      <c r="K257" s="21"/>
      <c r="L257" s="21">
        <f>HHJ_2022_2023!H185</f>
        <v>0</v>
      </c>
      <c r="M257" s="21">
        <f>HHJ_2022_2023!J185</f>
        <v>0</v>
      </c>
      <c r="N257" s="21">
        <f>HHJ_2022_2023!L185</f>
        <v>0</v>
      </c>
      <c r="O257" s="14"/>
      <c r="R257" s="6"/>
    </row>
    <row r="258" spans="1:18" outlineLevel="2" x14ac:dyDescent="0.2">
      <c r="A258" s="182" t="s">
        <v>485</v>
      </c>
      <c r="B258" s="134">
        <f t="shared" si="34"/>
        <v>253</v>
      </c>
      <c r="C258" s="10" t="s">
        <v>486</v>
      </c>
      <c r="D258" s="10" t="s">
        <v>487</v>
      </c>
      <c r="E258" s="21">
        <v>0</v>
      </c>
      <c r="F258" s="853">
        <v>0</v>
      </c>
      <c r="G258" s="21">
        <v>200</v>
      </c>
      <c r="H258" s="21">
        <v>200</v>
      </c>
      <c r="I258" s="664">
        <v>0</v>
      </c>
      <c r="J258" s="21"/>
      <c r="K258" s="21"/>
      <c r="L258" s="21">
        <f>HHJ_2022_2023!H188</f>
        <v>0</v>
      </c>
      <c r="M258" s="21">
        <f>HHJ_2022_2023!J188</f>
        <v>0</v>
      </c>
      <c r="N258" s="21">
        <f>HHJ_2022_2023!L188</f>
        <v>0</v>
      </c>
      <c r="O258" s="14"/>
      <c r="Q258" s="6"/>
      <c r="R258" s="6"/>
    </row>
    <row r="259" spans="1:18" outlineLevel="2" x14ac:dyDescent="0.2">
      <c r="A259" s="182" t="s">
        <v>488</v>
      </c>
      <c r="B259" s="134">
        <f t="shared" si="34"/>
        <v>254</v>
      </c>
      <c r="C259" s="10" t="s">
        <v>1184</v>
      </c>
      <c r="D259" s="10" t="s">
        <v>31</v>
      </c>
      <c r="E259" s="21">
        <v>0</v>
      </c>
      <c r="F259" s="853">
        <v>0</v>
      </c>
      <c r="G259" s="21">
        <v>500</v>
      </c>
      <c r="H259" s="21">
        <v>900</v>
      </c>
      <c r="I259" s="664">
        <v>0</v>
      </c>
      <c r="J259" s="21"/>
      <c r="K259" s="21"/>
      <c r="L259" s="21">
        <f>HHJ_2022_2023!H194+HHJ_2022_2023!H197+HHJ_2022_2023!H252</f>
        <v>0</v>
      </c>
      <c r="M259" s="21">
        <f>HHJ_2022_2023!J194+HHJ_2022_2023!J197+HHJ_2022_2023!J252</f>
        <v>0</v>
      </c>
      <c r="N259" s="21">
        <f>HHJ_2022_2023!L194+HHJ_2022_2023!L197+HHJ_2022_2023!L252</f>
        <v>0</v>
      </c>
      <c r="O259" s="14"/>
      <c r="R259" s="6"/>
    </row>
    <row r="260" spans="1:18" outlineLevel="1" x14ac:dyDescent="0.2">
      <c r="B260" s="131">
        <f t="shared" si="34"/>
        <v>255</v>
      </c>
      <c r="F260" s="25"/>
      <c r="J260" s="14"/>
      <c r="K260" s="14"/>
      <c r="L260" s="14"/>
      <c r="M260" s="14"/>
      <c r="N260" s="14"/>
      <c r="O260" s="14"/>
      <c r="Q260" s="6"/>
      <c r="R260" s="6"/>
    </row>
    <row r="261" spans="1:18" outlineLevel="1" x14ac:dyDescent="0.2">
      <c r="A261" s="181" t="s">
        <v>490</v>
      </c>
      <c r="B261" s="133">
        <f t="shared" si="34"/>
        <v>256</v>
      </c>
      <c r="C261" s="9"/>
      <c r="D261" s="9" t="s">
        <v>491</v>
      </c>
      <c r="E261" s="20">
        <f>SUBTOTAL(9,E262:E263)</f>
        <v>2300.25</v>
      </c>
      <c r="F261" s="665">
        <v>2390.73</v>
      </c>
      <c r="G261" s="20">
        <f>SUBTOTAL(9,G262:G263)</f>
        <v>3375</v>
      </c>
      <c r="H261" s="20">
        <f>SUBTOTAL(9,H262:H263)</f>
        <v>3289.02</v>
      </c>
      <c r="I261" s="20">
        <f>SUBTOTAL(9,I262:I263)</f>
        <v>3289.02</v>
      </c>
      <c r="J261" s="20"/>
      <c r="K261" s="20"/>
      <c r="L261" s="20">
        <f>SUBTOTAL(9,L262:L263)</f>
        <v>0</v>
      </c>
      <c r="M261" s="20">
        <f>SUBTOTAL(9,M262:M263)</f>
        <v>0</v>
      </c>
      <c r="N261" s="20">
        <f>SUBTOTAL(9,N262:N263)</f>
        <v>25</v>
      </c>
      <c r="O261" s="14"/>
      <c r="R261" s="6"/>
    </row>
    <row r="262" spans="1:18" outlineLevel="2" x14ac:dyDescent="0.2">
      <c r="A262" s="182" t="s">
        <v>492</v>
      </c>
      <c r="B262" s="134">
        <f t="shared" si="34"/>
        <v>257</v>
      </c>
      <c r="C262" s="10" t="s">
        <v>493</v>
      </c>
      <c r="D262" s="10" t="s">
        <v>494</v>
      </c>
      <c r="E262" s="21">
        <v>2200.25</v>
      </c>
      <c r="F262" s="853">
        <v>2365.73</v>
      </c>
      <c r="G262" s="21">
        <v>3300</v>
      </c>
      <c r="H262" s="21">
        <v>3264.02</v>
      </c>
      <c r="I262" s="664">
        <v>3264.02</v>
      </c>
      <c r="J262" s="21"/>
      <c r="K262" s="21"/>
      <c r="L262" s="21">
        <f>HHJ_2022_2023!H189</f>
        <v>0</v>
      </c>
      <c r="M262" s="21">
        <f>HHJ_2022_2023!J189</f>
        <v>0</v>
      </c>
      <c r="N262" s="21">
        <f>HHJ_2022_2023!L189</f>
        <v>0</v>
      </c>
      <c r="O262" s="14"/>
      <c r="Q262" s="6"/>
      <c r="R262" s="6"/>
    </row>
    <row r="263" spans="1:18" outlineLevel="2" x14ac:dyDescent="0.2">
      <c r="A263" s="182" t="s">
        <v>495</v>
      </c>
      <c r="B263" s="134">
        <f t="shared" si="34"/>
        <v>258</v>
      </c>
      <c r="C263" s="10" t="s">
        <v>496</v>
      </c>
      <c r="D263" s="10" t="s">
        <v>497</v>
      </c>
      <c r="E263" s="21">
        <v>100</v>
      </c>
      <c r="F263" s="853">
        <v>25</v>
      </c>
      <c r="G263" s="21">
        <v>75</v>
      </c>
      <c r="H263" s="21">
        <v>25</v>
      </c>
      <c r="I263" s="664">
        <v>25</v>
      </c>
      <c r="J263" s="21"/>
      <c r="K263" s="21"/>
      <c r="L263" s="21">
        <f>HHJ_2022_2023!H190</f>
        <v>0</v>
      </c>
      <c r="M263" s="21">
        <f>HHJ_2022_2023!J190</f>
        <v>0</v>
      </c>
      <c r="N263" s="21">
        <f>HHJ_2022_2023!L190</f>
        <v>25</v>
      </c>
      <c r="O263" s="14"/>
      <c r="R263" s="6"/>
    </row>
    <row r="264" spans="1:18" outlineLevel="1" x14ac:dyDescent="0.2">
      <c r="B264" s="131">
        <f t="shared" si="34"/>
        <v>259</v>
      </c>
      <c r="F264" s="25"/>
      <c r="J264" s="14"/>
      <c r="K264" s="14"/>
      <c r="L264" s="14"/>
      <c r="M264" s="14"/>
      <c r="N264" s="14"/>
      <c r="O264" s="14"/>
      <c r="Q264" s="6"/>
      <c r="R264" s="6"/>
    </row>
    <row r="265" spans="1:18" outlineLevel="1" x14ac:dyDescent="0.2">
      <c r="A265" s="181" t="s">
        <v>498</v>
      </c>
      <c r="B265" s="133">
        <f t="shared" si="34"/>
        <v>260</v>
      </c>
      <c r="C265" s="9"/>
      <c r="D265" s="9" t="s">
        <v>499</v>
      </c>
      <c r="E265" s="20">
        <f>SUBTOTAL(9,E266:E267)</f>
        <v>200000</v>
      </c>
      <c r="F265" s="665">
        <v>95300</v>
      </c>
      <c r="G265" s="20">
        <f>SUBTOTAL(9,G266:G267)</f>
        <v>125000</v>
      </c>
      <c r="H265" s="20">
        <f>SUBTOTAL(9,H266:H267)</f>
        <v>100000</v>
      </c>
      <c r="I265" s="20">
        <f>SUBTOTAL(9,I266:I267)</f>
        <v>100000</v>
      </c>
      <c r="J265" s="20"/>
      <c r="K265" s="20"/>
      <c r="L265" s="20">
        <f>SUBTOTAL(9,L266:L267)</f>
        <v>8200</v>
      </c>
      <c r="M265" s="20">
        <f>SUBTOTAL(9,M266:M267)</f>
        <v>16400</v>
      </c>
      <c r="N265" s="20">
        <f>SUBTOTAL(9,N266:N267)</f>
        <v>16400</v>
      </c>
      <c r="O265" s="14"/>
      <c r="R265" s="6"/>
    </row>
    <row r="266" spans="1:18" outlineLevel="1" x14ac:dyDescent="0.2">
      <c r="A266" s="182" t="s">
        <v>492</v>
      </c>
      <c r="B266" s="134">
        <f t="shared" si="34"/>
        <v>261</v>
      </c>
      <c r="C266" s="10" t="s">
        <v>1204</v>
      </c>
      <c r="D266" s="10" t="s">
        <v>500</v>
      </c>
      <c r="E266" s="21">
        <f>'Anschaffungsplan+BHS'!B33</f>
        <v>45000</v>
      </c>
      <c r="F266" s="853">
        <v>65280.500000000007</v>
      </c>
      <c r="G266" s="21">
        <v>46492.17</v>
      </c>
      <c r="H266" s="21">
        <v>68430.649999999994</v>
      </c>
      <c r="I266" s="664">
        <v>100000</v>
      </c>
      <c r="J266" s="21"/>
      <c r="K266" s="21"/>
      <c r="L266" s="21">
        <f>HHJ_2022_2023!H253*0.685</f>
        <v>5617</v>
      </c>
      <c r="M266" s="21">
        <f>HHJ_2022_2023!J253*0.685</f>
        <v>11234</v>
      </c>
      <c r="N266" s="21">
        <f>HHJ_2022_2023!L253*0.685</f>
        <v>11234</v>
      </c>
      <c r="O266" s="14"/>
      <c r="Q266" s="6"/>
      <c r="R266" s="6"/>
    </row>
    <row r="267" spans="1:18" outlineLevel="1" x14ac:dyDescent="0.2">
      <c r="A267" s="182" t="s">
        <v>495</v>
      </c>
      <c r="B267" s="134">
        <f t="shared" si="34"/>
        <v>262</v>
      </c>
      <c r="C267" s="10" t="s">
        <v>1205</v>
      </c>
      <c r="D267" s="13" t="s">
        <v>501</v>
      </c>
      <c r="E267" s="981">
        <f>'Anschaffungsplan+BHS'!B34</f>
        <v>155000</v>
      </c>
      <c r="F267" s="860">
        <v>30019.5</v>
      </c>
      <c r="G267" s="21">
        <f>Tabelle211123957[[#Totals],[Betrag]]</f>
        <v>78507.83</v>
      </c>
      <c r="H267" s="21">
        <v>31569.35</v>
      </c>
      <c r="I267" s="664">
        <v>0</v>
      </c>
      <c r="J267" s="21"/>
      <c r="K267" s="21"/>
      <c r="L267" s="21">
        <f>HHJ_2022_2023!H253*0.315</f>
        <v>2583</v>
      </c>
      <c r="M267" s="21">
        <f>HHJ_2022_2023!J253*0.315</f>
        <v>5166</v>
      </c>
      <c r="N267" s="21">
        <f>HHJ_2022_2023!L253*0.315</f>
        <v>5166</v>
      </c>
      <c r="O267" s="14"/>
      <c r="R267" s="6"/>
    </row>
    <row r="268" spans="1:18" x14ac:dyDescent="0.2">
      <c r="B268" s="131">
        <f t="shared" si="34"/>
        <v>263</v>
      </c>
      <c r="F268" s="25"/>
      <c r="J268" s="14"/>
      <c r="K268" s="14"/>
      <c r="L268" s="14"/>
      <c r="M268" s="14"/>
      <c r="N268" s="14"/>
      <c r="O268" s="14"/>
      <c r="Q268" s="6"/>
      <c r="R268" s="6"/>
    </row>
    <row r="269" spans="1:18" x14ac:dyDescent="0.2">
      <c r="A269" s="138" t="s">
        <v>502</v>
      </c>
      <c r="B269" s="132">
        <f t="shared" si="34"/>
        <v>264</v>
      </c>
      <c r="C269" s="8"/>
      <c r="D269" s="8" t="s">
        <v>503</v>
      </c>
      <c r="E269" s="19">
        <f>SUBTOTAL(9,E271:E272)</f>
        <v>6000</v>
      </c>
      <c r="F269" s="855">
        <v>2500</v>
      </c>
      <c r="G269" s="19">
        <f>SUBTOTAL(9,G271:G272)</f>
        <v>16500</v>
      </c>
      <c r="H269" s="19">
        <f>SUBTOTAL(9,H271:H272)</f>
        <v>11500</v>
      </c>
      <c r="I269" s="19">
        <f>SUBTOTAL(9,I271:I272)</f>
        <v>950</v>
      </c>
      <c r="J269" s="19"/>
      <c r="K269" s="19"/>
      <c r="L269" s="19">
        <f>SUBTOTAL(9,L271:L272)</f>
        <v>500</v>
      </c>
      <c r="M269" s="19">
        <f>SUBTOTAL(9,M271:M272)</f>
        <v>500</v>
      </c>
      <c r="N269" s="19">
        <f>SUBTOTAL(9,N271:N272)</f>
        <v>500</v>
      </c>
      <c r="O269" s="14"/>
      <c r="R269" s="6"/>
    </row>
    <row r="270" spans="1:18" outlineLevel="1" x14ac:dyDescent="0.2">
      <c r="A270" s="181" t="s">
        <v>504</v>
      </c>
      <c r="B270" s="133">
        <f t="shared" si="34"/>
        <v>265</v>
      </c>
      <c r="C270" s="9"/>
      <c r="D270" s="9" t="s">
        <v>505</v>
      </c>
      <c r="E270" s="20">
        <f>SUBTOTAL(9,E271:E273)</f>
        <v>6000</v>
      </c>
      <c r="F270" s="665">
        <v>2500</v>
      </c>
      <c r="G270" s="20">
        <f>SUBTOTAL(9,G271:G273)</f>
        <v>16500</v>
      </c>
      <c r="H270" s="20">
        <f>SUBTOTAL(9,H271:H273)</f>
        <v>11500</v>
      </c>
      <c r="I270" s="20">
        <f>SUBTOTAL(9,I271:I273)</f>
        <v>950</v>
      </c>
      <c r="J270" s="20"/>
      <c r="K270" s="20"/>
      <c r="L270" s="20">
        <f>SUBTOTAL(9,L271:L273)</f>
        <v>500</v>
      </c>
      <c r="M270" s="20">
        <f>SUBTOTAL(9,M271:M273)</f>
        <v>500</v>
      </c>
      <c r="N270" s="20">
        <f>SUBTOTAL(9,N271:N273)</f>
        <v>500</v>
      </c>
      <c r="O270" s="14"/>
      <c r="Q270" s="6"/>
      <c r="R270" s="6"/>
    </row>
    <row r="271" spans="1:18" outlineLevel="2" x14ac:dyDescent="0.2">
      <c r="A271" s="182" t="s">
        <v>506</v>
      </c>
      <c r="B271" s="134">
        <f t="shared" si="34"/>
        <v>266</v>
      </c>
      <c r="C271" s="10" t="s">
        <v>504</v>
      </c>
      <c r="D271" s="10" t="s">
        <v>507</v>
      </c>
      <c r="E271" s="21">
        <v>5000</v>
      </c>
      <c r="F271" s="853">
        <v>2500</v>
      </c>
      <c r="G271" s="21">
        <v>15000</v>
      </c>
      <c r="H271" s="21">
        <v>10000</v>
      </c>
      <c r="I271" s="664">
        <v>950</v>
      </c>
      <c r="J271" s="21"/>
      <c r="K271" s="21"/>
      <c r="L271" s="21">
        <f>HHJ_2022_2023!H255</f>
        <v>500</v>
      </c>
      <c r="M271" s="21">
        <f>HHJ_2022_2023!J255</f>
        <v>500</v>
      </c>
      <c r="N271" s="21">
        <f>HHJ_2022_2023!L255</f>
        <v>500</v>
      </c>
      <c r="O271" s="14"/>
      <c r="R271" s="6"/>
    </row>
    <row r="272" spans="1:18" outlineLevel="2" x14ac:dyDescent="0.2">
      <c r="A272" s="182" t="s">
        <v>508</v>
      </c>
      <c r="B272" s="134">
        <f t="shared" si="34"/>
        <v>267</v>
      </c>
      <c r="C272" s="10" t="s">
        <v>509</v>
      </c>
      <c r="D272" s="10" t="s">
        <v>510</v>
      </c>
      <c r="E272" s="21">
        <v>1000</v>
      </c>
      <c r="F272" s="853">
        <v>0</v>
      </c>
      <c r="G272" s="21">
        <v>1500</v>
      </c>
      <c r="H272" s="21">
        <v>1500</v>
      </c>
      <c r="I272" s="664">
        <v>0</v>
      </c>
      <c r="J272" s="21"/>
      <c r="K272" s="21"/>
      <c r="L272" s="21">
        <f>HHJ_2022_2023!H256</f>
        <v>0</v>
      </c>
      <c r="M272" s="21">
        <f>HHJ_2022_2023!J256</f>
        <v>0</v>
      </c>
      <c r="N272" s="21">
        <f>HHJ_2022_2023!L256</f>
        <v>0</v>
      </c>
      <c r="O272" s="14"/>
      <c r="Q272" s="6"/>
      <c r="R272" s="6"/>
    </row>
    <row r="273" spans="1:18" x14ac:dyDescent="0.2">
      <c r="B273" s="131">
        <f t="shared" si="34"/>
        <v>268</v>
      </c>
      <c r="F273" s="25"/>
      <c r="J273" s="14"/>
      <c r="K273" s="14"/>
      <c r="L273" s="14"/>
      <c r="M273" s="14"/>
      <c r="N273" s="14"/>
      <c r="O273" s="14"/>
      <c r="R273" s="6"/>
    </row>
    <row r="274" spans="1:18" x14ac:dyDescent="0.2">
      <c r="A274" s="138" t="s">
        <v>511</v>
      </c>
      <c r="B274" s="132">
        <f t="shared" si="34"/>
        <v>269</v>
      </c>
      <c r="C274" s="8"/>
      <c r="D274" s="8" t="s">
        <v>512</v>
      </c>
      <c r="E274" s="19">
        <f>SUBTOTAL(9,E276:E278)</f>
        <v>15000</v>
      </c>
      <c r="F274" s="855">
        <v>0</v>
      </c>
      <c r="G274" s="19">
        <f>SUBTOTAL(9,G276:G278)</f>
        <v>0</v>
      </c>
      <c r="H274" s="19">
        <f>SUBTOTAL(9,H276:H278)</f>
        <v>60000</v>
      </c>
      <c r="I274" s="19">
        <f>SUBTOTAL(9,I276:I278)</f>
        <v>60000</v>
      </c>
      <c r="J274" s="19"/>
      <c r="K274" s="19"/>
      <c r="L274" s="19">
        <f>SUBTOTAL(9,L276:L278)</f>
        <v>0</v>
      </c>
      <c r="M274" s="19">
        <f>SUBTOTAL(9,M276:M278)</f>
        <v>0</v>
      </c>
      <c r="N274" s="19">
        <f>SUBTOTAL(9,N276:N278)</f>
        <v>0</v>
      </c>
      <c r="O274" s="14"/>
      <c r="Q274" s="6"/>
      <c r="R274" s="6"/>
    </row>
    <row r="275" spans="1:18" outlineLevel="1" x14ac:dyDescent="0.2">
      <c r="A275" s="181" t="s">
        <v>513</v>
      </c>
      <c r="B275" s="133">
        <f t="shared" si="34"/>
        <v>270</v>
      </c>
      <c r="C275" s="9"/>
      <c r="D275" s="9" t="s">
        <v>514</v>
      </c>
      <c r="E275" s="20">
        <f>SUBTOTAL(9,E276,E277,E278)</f>
        <v>15000</v>
      </c>
      <c r="F275" s="665">
        <v>0</v>
      </c>
      <c r="G275" s="20">
        <f>SUBTOTAL(9,G276,G277,G278)</f>
        <v>0</v>
      </c>
      <c r="H275" s="20">
        <f>SUBTOTAL(9,H276,H277,H278)</f>
        <v>60000</v>
      </c>
      <c r="I275" s="20">
        <f>SUBTOTAL(9,I276,I277,I278)</f>
        <v>60000</v>
      </c>
      <c r="J275" s="20"/>
      <c r="K275" s="20"/>
      <c r="L275" s="20">
        <f>SUBTOTAL(9,L276,L277,L278)</f>
        <v>0</v>
      </c>
      <c r="M275" s="20">
        <f>SUBTOTAL(9,M276,M277,M278)</f>
        <v>0</v>
      </c>
      <c r="N275" s="20">
        <f>SUBTOTAL(9,N276,N277,N278)</f>
        <v>0</v>
      </c>
      <c r="O275" s="14"/>
      <c r="R275" s="6"/>
    </row>
    <row r="276" spans="1:18" outlineLevel="1" x14ac:dyDescent="0.2">
      <c r="A276" s="182" t="s">
        <v>515</v>
      </c>
      <c r="B276" s="134">
        <f t="shared" si="34"/>
        <v>271</v>
      </c>
      <c r="C276" s="10" t="s">
        <v>516</v>
      </c>
      <c r="D276" s="10" t="s">
        <v>100</v>
      </c>
      <c r="E276" s="21">
        <v>0</v>
      </c>
      <c r="F276" s="853">
        <v>0</v>
      </c>
      <c r="G276" s="21">
        <v>0</v>
      </c>
      <c r="H276" s="21">
        <v>0</v>
      </c>
      <c r="I276" s="664">
        <v>0</v>
      </c>
      <c r="J276" s="21"/>
      <c r="K276" s="21"/>
      <c r="L276" s="21">
        <f>HHJ_2022_2023!H258</f>
        <v>0</v>
      </c>
      <c r="M276" s="21">
        <f>HHJ_2022_2023!J258</f>
        <v>0</v>
      </c>
      <c r="N276" s="21">
        <f>HHJ_2022_2023!L258</f>
        <v>0</v>
      </c>
      <c r="O276" s="14"/>
      <c r="Q276" s="6"/>
      <c r="R276" s="6"/>
    </row>
    <row r="277" spans="1:18" outlineLevel="1" x14ac:dyDescent="0.2">
      <c r="A277" s="182" t="s">
        <v>517</v>
      </c>
      <c r="B277" s="134">
        <f t="shared" si="34"/>
        <v>272</v>
      </c>
      <c r="C277" s="10" t="s">
        <v>518</v>
      </c>
      <c r="D277" s="10" t="s">
        <v>105</v>
      </c>
      <c r="E277" s="21">
        <v>15000</v>
      </c>
      <c r="F277" s="853">
        <v>0</v>
      </c>
      <c r="G277" s="21">
        <v>0</v>
      </c>
      <c r="H277" s="21">
        <v>60000</v>
      </c>
      <c r="I277" s="664">
        <v>60000</v>
      </c>
      <c r="J277" s="21"/>
      <c r="K277" s="21"/>
      <c r="L277" s="21">
        <f>HHJ_2022_2023!H259</f>
        <v>0</v>
      </c>
      <c r="M277" s="21">
        <f>HHJ_2022_2023!J259</f>
        <v>0</v>
      </c>
      <c r="N277" s="21">
        <f>HHJ_2022_2023!L259</f>
        <v>0</v>
      </c>
      <c r="O277" s="14"/>
      <c r="R277" s="6"/>
    </row>
    <row r="278" spans="1:18" outlineLevel="1" x14ac:dyDescent="0.2">
      <c r="A278" s="182" t="s">
        <v>519</v>
      </c>
      <c r="B278" s="134">
        <f t="shared" si="34"/>
        <v>273</v>
      </c>
      <c r="C278" s="10" t="s">
        <v>520</v>
      </c>
      <c r="D278" s="10" t="s">
        <v>521</v>
      </c>
      <c r="E278" s="21">
        <v>0</v>
      </c>
      <c r="F278" s="853">
        <v>0</v>
      </c>
      <c r="G278" s="21">
        <v>0</v>
      </c>
      <c r="H278" s="21">
        <v>0</v>
      </c>
      <c r="I278" s="664">
        <v>0</v>
      </c>
      <c r="J278" s="21"/>
      <c r="K278" s="21"/>
      <c r="L278" s="21">
        <f>HHJ_2022_2023!H260</f>
        <v>0</v>
      </c>
      <c r="M278" s="21">
        <f>HHJ_2022_2023!J260</f>
        <v>0</v>
      </c>
      <c r="N278" s="21">
        <f>HHJ_2022_2023!L260</f>
        <v>0</v>
      </c>
      <c r="O278" s="14"/>
      <c r="Q278" s="6"/>
      <c r="R278" s="6"/>
    </row>
    <row r="279" spans="1:18" x14ac:dyDescent="0.2">
      <c r="B279" s="131">
        <f t="shared" si="34"/>
        <v>274</v>
      </c>
      <c r="F279" s="25"/>
      <c r="J279" s="14"/>
      <c r="K279" s="14"/>
      <c r="L279" s="14"/>
      <c r="M279" s="14"/>
      <c r="N279" s="14"/>
      <c r="O279" s="14"/>
      <c r="R279" s="6"/>
    </row>
    <row r="280" spans="1:18" ht="16.5" customHeight="1" x14ac:dyDescent="0.2">
      <c r="B280" s="131">
        <f t="shared" si="34"/>
        <v>275</v>
      </c>
      <c r="D280" s="138" t="s">
        <v>522</v>
      </c>
      <c r="E280" s="143" t="e">
        <f>SUM(E78,E116,E250,E269,E274)</f>
        <v>#REF!</v>
      </c>
      <c r="F280" s="857">
        <v>594157.59000000008</v>
      </c>
      <c r="G280" s="143" t="e">
        <f>SUM(G78,G116,G250,G269,G274)</f>
        <v>#REF!</v>
      </c>
      <c r="H280" s="143" t="e">
        <f>SUM(H78,H116,H250,H269,H274)</f>
        <v>#REF!</v>
      </c>
      <c r="I280" s="143">
        <f>SUM(I78,I116,I250,I269,I274)</f>
        <v>1215421.75</v>
      </c>
      <c r="J280" s="144"/>
      <c r="K280" s="144"/>
      <c r="L280" s="143">
        <f>SUM(L78,L116,L250,L269,L274)</f>
        <v>51319.03</v>
      </c>
      <c r="M280" s="143">
        <f>SUM(M78,M116,M250,M269,M274)</f>
        <v>115481.03</v>
      </c>
      <c r="N280" s="143">
        <f>SUM(N78,N116,N250,N269,N274)</f>
        <v>147043.78</v>
      </c>
      <c r="O280" s="14"/>
      <c r="Q280" s="6"/>
      <c r="R280" s="6"/>
    </row>
    <row r="281" spans="1:18" ht="14.25" customHeight="1" x14ac:dyDescent="0.2">
      <c r="B281" s="131">
        <f t="shared" si="34"/>
        <v>276</v>
      </c>
      <c r="D281" s="139" t="s">
        <v>118</v>
      </c>
      <c r="E281" s="141">
        <f>SUBTOTAL(9,E6,E36,E60)</f>
        <v>1552386.25</v>
      </c>
      <c r="F281" s="858">
        <v>1370293.8900000001</v>
      </c>
      <c r="G281" s="141">
        <f>SUBTOTAL(9,G6,G36,G60)</f>
        <v>1568977.28</v>
      </c>
      <c r="H281" s="141">
        <f>SUBTOTAL(9,H6,H36,H60)</f>
        <v>1480000</v>
      </c>
      <c r="I281" s="141">
        <f>SUBTOTAL(9,I6,I36,I60)</f>
        <v>1500919.53</v>
      </c>
      <c r="J281" s="142"/>
      <c r="K281" s="142"/>
      <c r="L281" s="141">
        <f>L74</f>
        <v>542448.23</v>
      </c>
      <c r="M281" s="141">
        <f>M74</f>
        <v>744264.9</v>
      </c>
      <c r="N281" s="141">
        <f>N74</f>
        <v>777607.6100000001</v>
      </c>
      <c r="O281" s="14"/>
      <c r="R281" s="6"/>
    </row>
    <row r="282" spans="1:18" ht="16" x14ac:dyDescent="0.2">
      <c r="B282" s="131">
        <f t="shared" si="34"/>
        <v>277</v>
      </c>
      <c r="D282" s="140" t="s">
        <v>523</v>
      </c>
      <c r="E282" s="145" t="e">
        <f>E281-E280</f>
        <v>#REF!</v>
      </c>
      <c r="F282" s="859">
        <v>776136.3</v>
      </c>
      <c r="G282" s="145" t="e">
        <f>G281-G280</f>
        <v>#REF!</v>
      </c>
      <c r="H282" s="145" t="e">
        <f>H281-H280</f>
        <v>#REF!</v>
      </c>
      <c r="I282" s="145">
        <f>I281-I280</f>
        <v>285497.78000000003</v>
      </c>
      <c r="J282" s="146"/>
      <c r="K282" s="146"/>
      <c r="L282" s="145">
        <f>L281-L280</f>
        <v>491129.19999999995</v>
      </c>
      <c r="M282" s="145">
        <f>M281-M280</f>
        <v>628783.87</v>
      </c>
      <c r="N282" s="145">
        <f>N281-N280</f>
        <v>630563.83000000007</v>
      </c>
      <c r="O282" s="14"/>
      <c r="Q282" s="6"/>
      <c r="R282" s="6"/>
    </row>
    <row r="284" spans="1:18" x14ac:dyDescent="0.2">
      <c r="H284" s="14">
        <v>1479844.02</v>
      </c>
    </row>
    <row r="285" spans="1:18" x14ac:dyDescent="0.2">
      <c r="H285" s="226" t="e">
        <f>H280-H284</f>
        <v>#REF!</v>
      </c>
    </row>
    <row r="287" spans="1:18" x14ac:dyDescent="0.2">
      <c r="D287" s="253"/>
      <c r="E287" s="253"/>
      <c r="F287" s="253"/>
    </row>
    <row r="288" spans="1:18" x14ac:dyDescent="0.2">
      <c r="D288" s="253" t="s">
        <v>524</v>
      </c>
      <c r="E288" s="253"/>
      <c r="F288" s="253"/>
      <c r="H288" s="854" t="s">
        <v>525</v>
      </c>
      <c r="I288" s="854" t="s">
        <v>1269</v>
      </c>
    </row>
    <row r="289" spans="4:14" x14ac:dyDescent="0.2">
      <c r="D289" s="254" t="s">
        <v>526</v>
      </c>
      <c r="E289" s="254"/>
      <c r="F289" s="254"/>
      <c r="H289" s="14">
        <v>180155.98</v>
      </c>
      <c r="I289" s="14">
        <v>465497.78</v>
      </c>
      <c r="L289" s="14">
        <v>671129.2</v>
      </c>
      <c r="M289" s="14">
        <v>808783.87</v>
      </c>
      <c r="N289" s="14">
        <v>810563.83</v>
      </c>
    </row>
    <row r="290" spans="4:14" x14ac:dyDescent="0.2">
      <c r="D290" s="254" t="s">
        <v>527</v>
      </c>
      <c r="E290" s="254"/>
      <c r="F290" s="254"/>
      <c r="H290" s="14">
        <v>0</v>
      </c>
      <c r="I290" s="14">
        <v>0</v>
      </c>
      <c r="L290" s="14">
        <v>0</v>
      </c>
      <c r="M290" s="14">
        <v>0</v>
      </c>
      <c r="N290" s="14">
        <v>0</v>
      </c>
    </row>
    <row r="291" spans="4:14" x14ac:dyDescent="0.2">
      <c r="D291" s="254" t="s">
        <v>528</v>
      </c>
      <c r="E291" s="254"/>
      <c r="F291" s="254"/>
      <c r="H291" s="14">
        <v>0</v>
      </c>
      <c r="I291" s="14">
        <v>0</v>
      </c>
      <c r="L291" s="14">
        <v>0</v>
      </c>
      <c r="M291" s="14">
        <v>0</v>
      </c>
      <c r="N291" s="14">
        <v>0</v>
      </c>
    </row>
    <row r="292" spans="4:14" x14ac:dyDescent="0.2">
      <c r="D292" s="253"/>
      <c r="E292" s="253"/>
      <c r="F292" s="253"/>
      <c r="L292" s="14"/>
      <c r="M292" s="14"/>
      <c r="N292" s="14"/>
    </row>
    <row r="293" spans="4:14" x14ac:dyDescent="0.2">
      <c r="D293" s="253" t="s">
        <v>529</v>
      </c>
      <c r="E293" s="253"/>
      <c r="F293" s="253"/>
      <c r="H293" s="14">
        <f>SUM(H289:H292)</f>
        <v>180155.98</v>
      </c>
      <c r="I293" s="14">
        <f>SUM(I289:I292)</f>
        <v>465497.78</v>
      </c>
      <c r="L293" s="14">
        <f>SUM(L289:L292)</f>
        <v>671129.2</v>
      </c>
      <c r="M293" s="14">
        <f>SUM(M289:M292)</f>
        <v>808783.87</v>
      </c>
      <c r="N293" s="14">
        <f>SUM(N289:N292)</f>
        <v>810563.83</v>
      </c>
    </row>
    <row r="294" spans="4:14" x14ac:dyDescent="0.2">
      <c r="D294" s="253"/>
      <c r="E294" s="253"/>
      <c r="F294" s="253"/>
      <c r="L294" s="14"/>
      <c r="M294" s="14"/>
      <c r="N294" s="14"/>
    </row>
    <row r="295" spans="4:14" x14ac:dyDescent="0.2">
      <c r="D295" s="253" t="s">
        <v>530</v>
      </c>
      <c r="E295" s="253"/>
      <c r="F295" s="253"/>
      <c r="L295" s="14"/>
      <c r="M295" s="14"/>
      <c r="N295" s="14"/>
    </row>
    <row r="296" spans="4:14" x14ac:dyDescent="0.2">
      <c r="D296" s="253"/>
      <c r="E296" s="253"/>
      <c r="F296" s="253"/>
      <c r="L296" s="14"/>
      <c r="M296" s="14"/>
      <c r="N296" s="14"/>
    </row>
    <row r="297" spans="4:14" x14ac:dyDescent="0.2">
      <c r="D297" s="255" t="s">
        <v>531</v>
      </c>
      <c r="E297" s="255"/>
      <c r="F297" s="255"/>
      <c r="G297" s="14">
        <v>80000</v>
      </c>
      <c r="H297" s="14">
        <v>155.97999999999999</v>
      </c>
      <c r="I297" s="14">
        <f>I282</f>
        <v>285497.78000000003</v>
      </c>
      <c r="L297" s="14">
        <f>L282</f>
        <v>491129.19999999995</v>
      </c>
      <c r="M297" s="14">
        <f>M282</f>
        <v>628783.87</v>
      </c>
      <c r="N297" s="14">
        <f>N282</f>
        <v>630563.83000000007</v>
      </c>
    </row>
    <row r="298" spans="4:14" x14ac:dyDescent="0.2">
      <c r="D298" s="254" t="s">
        <v>512</v>
      </c>
      <c r="E298" s="254"/>
      <c r="F298" s="254"/>
      <c r="G298" s="14">
        <v>115000</v>
      </c>
      <c r="H298" s="14">
        <v>115000</v>
      </c>
      <c r="I298" s="14">
        <v>115000</v>
      </c>
      <c r="L298" s="14">
        <v>115000</v>
      </c>
      <c r="M298" s="14">
        <v>115000</v>
      </c>
      <c r="N298" s="14">
        <v>115000</v>
      </c>
    </row>
    <row r="299" spans="4:14" x14ac:dyDescent="0.2">
      <c r="D299" s="254" t="s">
        <v>532</v>
      </c>
      <c r="E299" s="254"/>
      <c r="F299" s="254"/>
      <c r="G299" s="14">
        <v>5000</v>
      </c>
      <c r="H299" s="14">
        <v>5000</v>
      </c>
      <c r="I299" s="14">
        <v>5000</v>
      </c>
      <c r="L299" s="14">
        <v>5000</v>
      </c>
      <c r="M299" s="14">
        <v>5000</v>
      </c>
      <c r="N299" s="14">
        <v>5000</v>
      </c>
    </row>
    <row r="300" spans="4:14" x14ac:dyDescent="0.2">
      <c r="D300" s="254" t="s">
        <v>533</v>
      </c>
      <c r="E300" s="254"/>
      <c r="F300" s="254"/>
      <c r="G300" s="14">
        <v>0</v>
      </c>
      <c r="H300" s="14">
        <v>0</v>
      </c>
      <c r="I300" s="14">
        <v>60000</v>
      </c>
      <c r="L300" s="14">
        <v>60000</v>
      </c>
      <c r="M300" s="14">
        <v>60000</v>
      </c>
      <c r="N300" s="14">
        <v>60000</v>
      </c>
    </row>
    <row r="301" spans="4:14" x14ac:dyDescent="0.2">
      <c r="D301" s="254" t="s">
        <v>105</v>
      </c>
      <c r="E301" s="254"/>
      <c r="F301" s="254"/>
      <c r="H301" s="14">
        <v>60000</v>
      </c>
      <c r="I301" s="14">
        <v>0</v>
      </c>
      <c r="L301" s="14">
        <v>0</v>
      </c>
      <c r="M301" s="14">
        <v>0</v>
      </c>
      <c r="N301" s="14">
        <v>0</v>
      </c>
    </row>
    <row r="302" spans="4:14" x14ac:dyDescent="0.2">
      <c r="D302" s="253" t="s">
        <v>534</v>
      </c>
      <c r="E302" s="253"/>
      <c r="F302" s="253"/>
      <c r="H302" s="14">
        <f>SUM(H297:H301)</f>
        <v>180155.97999999998</v>
      </c>
      <c r="I302" s="14">
        <f>SUM(I297:I301)</f>
        <v>465497.78</v>
      </c>
      <c r="L302" s="14">
        <f>SUM(L297:L301)</f>
        <v>671129.2</v>
      </c>
      <c r="M302" s="14">
        <f>SUM(M297:M301)</f>
        <v>808783.87</v>
      </c>
      <c r="N302" s="14">
        <f>SUM(N297:N301)</f>
        <v>810563.83000000007</v>
      </c>
    </row>
    <row r="303" spans="4:14" x14ac:dyDescent="0.2">
      <c r="D303" s="254"/>
      <c r="E303" s="254"/>
      <c r="F303" s="254"/>
    </row>
    <row r="304" spans="4:14" x14ac:dyDescent="0.2">
      <c r="D304" s="253" t="s">
        <v>535</v>
      </c>
      <c r="E304" s="253"/>
      <c r="F304" s="253"/>
    </row>
    <row r="305" spans="4:8" x14ac:dyDescent="0.2">
      <c r="D305" s="253"/>
      <c r="E305" s="253"/>
      <c r="F305" s="253"/>
    </row>
    <row r="306" spans="4:8" x14ac:dyDescent="0.2">
      <c r="D306" s="254" t="s">
        <v>524</v>
      </c>
      <c r="E306" s="254"/>
      <c r="F306" s="254"/>
      <c r="H306" s="14">
        <v>180155.98</v>
      </c>
    </row>
    <row r="307" spans="4:8" ht="32" x14ac:dyDescent="0.2">
      <c r="D307" s="256" t="s">
        <v>536</v>
      </c>
      <c r="E307" s="256"/>
      <c r="F307" s="256"/>
      <c r="H307" s="14">
        <f>1120000*0.05</f>
        <v>56000</v>
      </c>
    </row>
    <row r="308" spans="4:8" x14ac:dyDescent="0.2">
      <c r="D308" s="254" t="s">
        <v>537</v>
      </c>
      <c r="E308" s="254"/>
      <c r="F308" s="254"/>
      <c r="H308" s="14">
        <f>H306-H307</f>
        <v>124155.98000000001</v>
      </c>
    </row>
    <row r="309" spans="4:8" ht="48" x14ac:dyDescent="0.2">
      <c r="D309" s="257" t="s">
        <v>538</v>
      </c>
      <c r="E309" s="257"/>
      <c r="F309" s="257"/>
      <c r="H309" s="14">
        <f>1120000*0.18</f>
        <v>201600</v>
      </c>
    </row>
    <row r="310" spans="4:8" x14ac:dyDescent="0.2">
      <c r="D310" s="254" t="s">
        <v>539</v>
      </c>
      <c r="E310" s="254"/>
      <c r="F310" s="254"/>
      <c r="H310" s="14">
        <f>H308-H309</f>
        <v>-77444.01999999999</v>
      </c>
    </row>
    <row r="311" spans="4:8" x14ac:dyDescent="0.2">
      <c r="D311" s="258"/>
      <c r="E311" s="258"/>
      <c r="F311" s="258"/>
    </row>
  </sheetData>
  <phoneticPr fontId="73" type="noConversion"/>
  <hyperlinks>
    <hyperlink ref="D175" location="Referatspläne!B2" display="Honorare Dozierende Fachseminare" xr:uid="{60C89834-EDFE-4FF0-8C32-D7E298D047F7}"/>
    <hyperlink ref="D178" location="Referatspläne!G2" display="Bewirtung und Repräsentation" xr:uid="{EFDC5AA8-C4B8-425B-AE77-5704BFCB5249}"/>
    <hyperlink ref="D177" location="Referatspläne!E2" display="Externe Reisekosten" xr:uid="{E7960A0F-F28B-4062-A4DD-D29D8031EDFF}"/>
    <hyperlink ref="D179" location="Referatspläne!I2" display="Raum und Unterkunftskosten" xr:uid="{FCD1F649-71F0-4FE2-95D2-15F2AECAE008}"/>
    <hyperlink ref="D103" location="Stellenplan!D22" display="Gehälter Beschäftigte" xr:uid="{09A0ECEE-EECC-4F42-920C-51F475E575EE}"/>
    <hyperlink ref="D104" location="Stellenplan!D23" display="Steuern" xr:uid="{DF5B2CF9-A7BC-4432-BB17-19DDA55534BC}"/>
    <hyperlink ref="D105" location="Stellenplan!D24" display="AG-Anteil Sozialversicherung" xr:uid="{0728B21F-96A2-4F08-BA90-88E3B2DEFEFC}"/>
    <hyperlink ref="D106" location="Stellenplan!D25" display="Betriebsrenten" xr:uid="{ADB81F88-C5A3-47D0-8490-5123BB3E1D2D}"/>
    <hyperlink ref="D128" location="Neu_Allg." display="Neuanschaffungen allgemein" xr:uid="{F7C610C4-6BED-4A5C-9FD1-262372BB9640}"/>
    <hyperlink ref="D129" location="Neu_EDV_Tel." display="Neuanschaffungen EDV und Telekommunikation" xr:uid="{0E4BA721-9CC9-4FD3-8B78-BE10A72A5678}"/>
    <hyperlink ref="D130" location="Renov_Inst." display="Renovierungen und Instandhaltung" xr:uid="{018899EE-00FF-4748-B284-E99A424465E1}"/>
    <hyperlink ref="D97" location="Stellenplan!B6" display="Referate" xr:uid="{D9FDBC1B-404D-4B40-8B3D-F4F84C2BD2CA}"/>
    <hyperlink ref="D98" location="Stellenplan!C6" display="Bundesknappschaft" xr:uid="{1F49066E-0B87-460E-89E1-C1C142EED209}"/>
    <hyperlink ref="D149" location="WiWi!E13" display="WiWi" xr:uid="{610E8F0C-2465-4E16-A5B8-2DA51D9265EE}"/>
    <hyperlink ref="D150" location="KSW!E13" display="KSW" xr:uid="{74781687-4F05-404F-BD98-0110E41CA6C5}"/>
    <hyperlink ref="D151" location="PSY!E13" display="PSY" xr:uid="{76F316A6-6277-4F62-9C94-7349DEC8CEDB}"/>
    <hyperlink ref="D152" location="ReWi!E13" display="ReWi" xr:uid="{6BDA0504-9F0C-47AD-B307-1B6BEF1560AC}"/>
    <hyperlink ref="D153" location="M_I!E13" display="M+I" xr:uid="{2C8567C2-5ADB-4A1C-8076-DF030F18BEB3}"/>
    <hyperlink ref="D38" location="WiWi!E5" display="FSR WiWi" xr:uid="{752F1C43-8332-456B-8602-A9521C382BF1}"/>
    <hyperlink ref="D39" location="KSW!E5" display="FSR KSW" xr:uid="{BD482870-7F39-4CD7-919D-05B751C7AAE4}"/>
    <hyperlink ref="D40" location="PSY!E5" display="FSR PSY" xr:uid="{13767CE0-AD54-44D2-88D3-80858268F67C}"/>
    <hyperlink ref="D41" location="ReWi!E5" display="FSR ReWi" xr:uid="{554F11B2-3634-4089-B288-E578D4547109}"/>
    <hyperlink ref="D42" location="M_I!E5" display="FSR M+I" xr:uid="{C89CA102-DBB3-466C-9295-0982F129D281}"/>
    <hyperlink ref="D45" location="WiWi!E6" display="FSR WiWi" xr:uid="{E98EA4C2-D443-4A89-A809-7008C5F906B6}"/>
    <hyperlink ref="D46" location="KSW!E6" display="FSR KSW" xr:uid="{A7657E42-2514-4F53-8A66-BAD65D37CB75}"/>
    <hyperlink ref="D47" location="PSY!E6" display="FSR PSY" xr:uid="{3CE800AA-B62B-4205-B868-37F480EB322B}"/>
    <hyperlink ref="D48" location="ReWi!E6" display="FSR ReWi" xr:uid="{0E0BB2A6-B958-4755-9DEC-4825CA8D3DF2}"/>
    <hyperlink ref="D49" location="M_I!E6" display="FSR M+I" xr:uid="{5736255C-8E5E-4EE6-A220-6D59AD02680B}"/>
    <hyperlink ref="D89" location="WiWi!E11" display="Variable AE FSR WiWi" xr:uid="{FA06D82D-F005-402E-A824-CD5D757912C9}"/>
    <hyperlink ref="D90" location="KSW!E11" display="Variable AE FSR KSW" xr:uid="{6197137C-CC0F-4AA7-87A5-5FEB2A95B162}"/>
    <hyperlink ref="D91" location="PSY!E11" display="Variable AE FSR PSY" xr:uid="{5EE999BA-A4E2-44DB-A6BA-88D0A367DC0A}"/>
    <hyperlink ref="D92" location="ReWi!E11" display="Variable AE FSR ReWi" xr:uid="{B7B32023-7492-4831-BB42-899274DC4852}"/>
    <hyperlink ref="D93" location="M_I!E11" display="Variable AE FSR M+I" xr:uid="{C38EFDF2-B993-456D-9F10-4E7D31C0D5A8}"/>
    <hyperlink ref="D161" location="WiWi!E14" display="WiWi" xr:uid="{BB3F4E04-1F0C-4E01-AEF5-99D5752635D2}"/>
    <hyperlink ref="D162" location="KSW!E14" display="KSW" xr:uid="{B8E00508-A054-492E-A8EF-62DE425EC84E}"/>
    <hyperlink ref="D163" location="PSY!E14" display="PSY" xr:uid="{F5971167-0599-448B-8E35-F1ECCFE3C3C5}"/>
    <hyperlink ref="D164" location="ReWi!E14" display="ReWi" xr:uid="{06B1B99F-8A78-40D0-B78F-852EE7D005AE}"/>
    <hyperlink ref="D165" location="M_I!E14" display="M+I" xr:uid="{221CA278-9320-400D-BD32-EFAC4CD9C44E}"/>
    <hyperlink ref="D185" location="WiWi!E15" display="WiWi" xr:uid="{EA87DDA0-9F7C-4A4B-94AD-8C2D1F005B7B}"/>
    <hyperlink ref="D186" location="KSW!E15" display="KSW" xr:uid="{52DA0BFB-F802-4386-BD43-982D2B36824E}"/>
    <hyperlink ref="D187" location="PSY!E15" display="PSY" xr:uid="{5C7DE8F8-32D8-4C86-AF68-1F0C9DA803E2}"/>
    <hyperlink ref="D188" location="ReWi!E15" display="ReWi" xr:uid="{9BE82827-2262-48D7-9E56-607B83984DAE}"/>
    <hyperlink ref="D189" location="M_I!E15" display="M+I" xr:uid="{68F35050-8478-457F-A60C-C2B978EFB8F2}"/>
    <hyperlink ref="D191" location="WiWi!E16" display="WiWi" xr:uid="{5F695922-C19D-4ACF-8AF3-CF65E7C629CD}"/>
    <hyperlink ref="D192" location="KSW!E16" display="KSW" xr:uid="{B42FB216-ED40-4D65-82E7-117FC0F07064}"/>
    <hyperlink ref="D193" location="PSY!E16" display="PSY" xr:uid="{A9C14F2B-DB0E-407F-B7AF-19C704553DCF}"/>
    <hyperlink ref="D194" location="ReWi!E16" display="ReWi" xr:uid="{4850ACE6-A763-48BD-B06E-2E91EF3FFA86}"/>
    <hyperlink ref="D195" location="M_I!E16" display="M+I" xr:uid="{880BD258-D4C4-4D25-A2F4-E35E3520BAF4}"/>
    <hyperlink ref="D197" location="WiWi!E17" display="WiWi" xr:uid="{E1181EC7-48C9-447C-8603-86362F48B485}"/>
    <hyperlink ref="D198" location="KSW!E17" display="KSW" xr:uid="{D1CB981A-C930-4FD9-BE20-F96FEA8BC477}"/>
    <hyperlink ref="D199" location="PSY!E17" display="PSY" xr:uid="{4B80F00B-6DD4-4A65-8F6E-80DC432BFAA6}"/>
    <hyperlink ref="D200" location="ReWi!E17" display="ReWi" xr:uid="{B39DFC1B-BB96-4581-B951-C479EE3AD92D}"/>
    <hyperlink ref="D201" location="M_I!E17" display="M+I" xr:uid="{62E6D6B3-B3F1-4BC1-9B01-7B6013012283}"/>
    <hyperlink ref="D203" location="WiWi!E18" display="WiWi" xr:uid="{43E03246-F9C4-4382-86F0-BB96C2EB6C30}"/>
    <hyperlink ref="D204" location="KSW!E18" display="KSW" xr:uid="{2276ED7F-51C8-4251-BBBD-D766FA62D961}"/>
    <hyperlink ref="D205" location="PSY!E18" display="PSY" xr:uid="{1551D32F-D5EF-4CD5-9467-88D5AC2E5F33}"/>
    <hyperlink ref="D206" location="ReWi!E18" display="ReWi" xr:uid="{C714C297-2F72-4BED-8FA4-2AE1AE29F3D8}"/>
    <hyperlink ref="D207" location="M_I!E18" display="M+I" xr:uid="{D5CFEDFD-0CC6-4C84-8590-CD84C7BD4E82}"/>
    <hyperlink ref="D209" location="WiWi!E19" display="WiWi" xr:uid="{EE21FEB3-02D9-4C87-9E61-E8E4B0F99DBB}"/>
    <hyperlink ref="D210" location="KSW!E19" display="KSW" xr:uid="{A55DB11F-8FCF-48FD-8B63-423F84AFBDA6}"/>
    <hyperlink ref="D211" location="PSY!E19" display="PSY" xr:uid="{C52ED2CB-C1F4-401C-9E03-FDCAFBB0693C}"/>
    <hyperlink ref="D212" location="ReWi!E19" display="ReWi" xr:uid="{B72D5E1F-26F4-42B1-8B1F-47F21ACE65C7}"/>
    <hyperlink ref="D213" location="M_I!E19" display="M+I" xr:uid="{C7E0CCED-C985-48E3-89F0-3AD50EA0D0A0}"/>
    <hyperlink ref="D215" location="WiWi!E20" display="WiWi" xr:uid="{DE4D5F58-AAC8-4EF2-B502-571CA6245AB2}"/>
    <hyperlink ref="D216" location="KSW!E20" display="KSW" xr:uid="{B70DCE4E-4DEA-4C6B-9664-35D00159BACA}"/>
    <hyperlink ref="D217" location="PSY!E20" display="PSY" xr:uid="{1C5C1586-2DDB-46E0-99E3-12896E71C649}"/>
    <hyperlink ref="D218" location="ReWi!E20" display="ReWi" xr:uid="{C9C85351-44B2-4DAD-A0FA-6777AF6B91D2}"/>
    <hyperlink ref="D219" location="M_I!E20" display="M+I" xr:uid="{59395B96-8860-4439-9B33-484D658B595C}"/>
    <hyperlink ref="D221" location="WiWi!E21" display="WiWi" xr:uid="{FE58DD81-A18A-435C-8BC0-D100D641A4E2}"/>
    <hyperlink ref="D222" location="KSW!E21" display="KSW" xr:uid="{41F661CC-71D5-48C4-9E10-7B7E746E7E33}"/>
    <hyperlink ref="D223" location="PSY!E21" display="PSY" xr:uid="{31D9E825-DFC4-4E9D-85F4-95D79E4B59BB}"/>
    <hyperlink ref="D224" location="ReWi!E21" display="ReWi" xr:uid="{F82A673A-A6AF-4FDB-BD62-6987B6EFE407}"/>
    <hyperlink ref="D225" location="M_I!E21" display="M+I" xr:uid="{95350DB8-A1C1-4A30-A5A7-7BACA4436E14}"/>
    <hyperlink ref="D254" location="Referatspläne!B123" display="Honorare Lerngruppen" xr:uid="{C1A5DB40-20CD-494A-BF47-6F4A161F3178}"/>
    <hyperlink ref="D255" location="Referatspläne!B131" display="Honorare Veranstaltungen Campus" xr:uid="{DE761C70-479A-43F2-8130-591AF0BC4271}"/>
    <hyperlink ref="D180" location="Referatspläne!J2" display="Druckkosten" xr:uid="{543A19FD-45C2-451E-A9F6-986D55418DF0}"/>
    <hyperlink ref="D181" location="Referatspläne!K2" display="Sonstige Kosten" xr:uid="{6DDA9E04-59E4-4D9C-8647-A74C48333F91}"/>
    <hyperlink ref="D20" location="Referatspläne!O1" display="AStA-Veranstaltungen" xr:uid="{BF3ED468-1388-4C2D-B410-766C7B476CEE}"/>
    <hyperlink ref="D19" location="Referatspläne!N1" display="AStA Seminare" xr:uid="{F4465E8B-F2CB-4458-AA14-19546A06282D}"/>
    <hyperlink ref="D24" location="Referatspläne!P2" display="AStA" xr:uid="{8DFDE969-C8C3-4B0A-8576-A6F6A85B8320}"/>
    <hyperlink ref="D29" location="Referatspläne!Q1" display="Förderungen Hopo" xr:uid="{FB7884F0-F8F2-41F8-A259-38AB50759830}"/>
    <hyperlink ref="D28" location="Referatspläne!Q1" display="Förderungen Inkl. U. Gleichstellung" xr:uid="{77D7A61C-FDD8-4930-9444-9B3BB278644E}"/>
    <hyperlink ref="D30" location="Referatspläne!Q1" display="Sonstige Förderungen und Kooperationen" xr:uid="{F55C1040-67EE-4083-AFA2-F5924EEA4033}"/>
    <hyperlink ref="D52" location="WiWi!E7" display="FSR WiWi" xr:uid="{2A775649-8FB6-4AAE-8284-1A256C8DD068}"/>
    <hyperlink ref="D53" location="KSW!E7" display="FSR KSW" xr:uid="{7F4AD05B-B666-47E3-A31C-F21BDBA6B03C}"/>
    <hyperlink ref="D54" location="PSY!E7" display="FSR PSY" xr:uid="{66C35271-8C1E-46FC-9B19-2453212E00E3}"/>
    <hyperlink ref="D55" location="ReWi!E7" display="FSR ReWi" xr:uid="{6586B761-0500-43EA-9546-1889C510C1F5}"/>
    <hyperlink ref="D56" location="M_I!E7" display="FSR M+I" xr:uid="{CA64298E-049B-408B-B1E6-9F03EE0F5BD8}"/>
    <hyperlink ref="D137" location="WiWi!E12" display="FSR WiWi" xr:uid="{7479FF5E-0F71-49AC-AECA-5BDA04DACBA9}"/>
    <hyperlink ref="D138" location="KSW!E12" display="FSR KSW" xr:uid="{E45012FD-CE48-43BE-949E-738BC98099E6}"/>
    <hyperlink ref="D139" location="PSY!E12" display="FSR PSY" xr:uid="{E87FF617-00F3-44DF-92C7-5822B508061F}"/>
    <hyperlink ref="D140" location="ReWi!E12" display="FSR ReWi" xr:uid="{4D3F5783-7888-4AE7-9A34-2A746EADE0DE}"/>
    <hyperlink ref="D141" location="M_I!E12" display="FSR M+I" xr:uid="{0D90D3E8-FFC5-4CDA-A463-AD56B634E64D}"/>
    <hyperlink ref="D80" location="Aufwandsentschädigungen!C4" display="Fest-AE Stupa-Präsidium und Ausschussvorsitze" xr:uid="{1CC69F04-6072-486B-9400-EC12B427D19F}"/>
    <hyperlink ref="D81" location="Aufwandsentschädigungen!I14" display="Variable AE Stupa, Ausschüsse, Arbeitsgruppen" xr:uid="{D1D5A7A4-523B-418F-B9AD-5B3FB0B6018E}"/>
    <hyperlink ref="D229" location="'Leistungen Dritter'!D5" display="Lohnbuchführung" xr:uid="{EB1D158A-FCCF-4425-B51C-3ACC6112F124}"/>
    <hyperlink ref="D231" location="IT_Dienstl." display="IT-Dienstleistungen" xr:uid="{53C0C7E0-3873-40E8-8741-4A5A8A772AA6}"/>
    <hyperlink ref="D125" location="IT_Mieten_Ges." display="IT-Mieten" xr:uid="{35523644-37B9-4DD2-90EE-82F4A2AF5AED}"/>
    <hyperlink ref="D123" location="Lizenzen_Ges." display="Lizenzen_Ges." xr:uid="{F684373A-DA4F-4FD2-9CE5-F26D8AB61912}"/>
    <hyperlink ref="D135" location="Referatspläne!D4" display="FK und VP AStA-Referate und Gäste" xr:uid="{9507AF67-89BA-4991-BDB9-3D4DA8CB1762}"/>
    <hyperlink ref="D158" location="Referatspläne!F2" display="AStA-Referate + Gäste" xr:uid="{F2BB06D5-63F4-40D6-B45C-7A5FC74BEA06}"/>
    <hyperlink ref="D176" location="Referatspläne!C2" display="Andere Honorare" xr:uid="{3BDE09A3-B83F-46F9-8ADF-9D1E7A439A08}"/>
    <hyperlink ref="D147" location="Referatspläne!H2" display="AStA-Referate und Gäste" xr:uid="{41AB2D0A-05FD-40E8-A03B-5DBCBD95EAD1}"/>
    <hyperlink ref="D99" location="Stellenplan!D6" display="Sachkostenpauschale" xr:uid="{EED05398-635F-435D-8316-1A4040965281}"/>
    <hyperlink ref="D100" location="Stellenplan!E6" display="VBG Unfallversicherung AStA" xr:uid="{B639D2C8-CD6E-4F44-AD2A-7F790E487E32}"/>
    <hyperlink ref="D256" location="Referatspläne!D131" display="Bewirtung und Repräsentation Campus" xr:uid="{69DA7670-9DCB-40C5-A7B5-CAA3D6CA19F1}"/>
    <hyperlink ref="D267" location="BHS_II" display="Maßnahmen BHS" xr:uid="{A569DA01-277D-4AA9-828F-194E83F4CB91}"/>
  </hyperlinks>
  <pageMargins left="0.7" right="0.7" top="0.78740157499999996" bottom="0.78740157499999996"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64317-059A-4200-A5E7-CD469BF59777}">
  <sheetPr codeName="Tabelle3"/>
  <dimension ref="A1:AF93"/>
  <sheetViews>
    <sheetView showGridLines="0" zoomScaleNormal="100" workbookViewId="0">
      <selection activeCell="B19" sqref="B19"/>
    </sheetView>
  </sheetViews>
  <sheetFormatPr baseColWidth="10" defaultColWidth="11.5" defaultRowHeight="15" outlineLevelRow="1" x14ac:dyDescent="0.2"/>
  <cols>
    <col min="1" max="1" width="10.33203125" customWidth="1"/>
    <col min="2" max="2" width="29.33203125" customWidth="1"/>
    <col min="3" max="3" width="16.5" customWidth="1"/>
    <col min="4" max="4" width="15.83203125" customWidth="1"/>
    <col min="5" max="5" width="16" customWidth="1"/>
    <col min="6" max="6" width="14" customWidth="1"/>
    <col min="7" max="7" width="12.83203125" customWidth="1"/>
    <col min="8" max="8" width="13.33203125" customWidth="1"/>
    <col min="9" max="9" width="12.1640625" customWidth="1"/>
    <col min="10" max="10" width="13.5" customWidth="1"/>
    <col min="11" max="11" width="12" customWidth="1"/>
  </cols>
  <sheetData>
    <row r="1" spans="1:12" ht="19" x14ac:dyDescent="0.25">
      <c r="A1" s="11"/>
      <c r="B1" s="7" t="s">
        <v>751</v>
      </c>
    </row>
    <row r="2" spans="1:12" ht="19.5" customHeight="1" thickBot="1" x14ac:dyDescent="0.25"/>
    <row r="3" spans="1:12" s="213" customFormat="1" ht="34.5" customHeight="1" thickBot="1" x14ac:dyDescent="0.25">
      <c r="A3" s="214" t="s">
        <v>1</v>
      </c>
      <c r="B3" s="332" t="s">
        <v>4</v>
      </c>
      <c r="C3" s="311" t="s">
        <v>701</v>
      </c>
      <c r="D3" s="312" t="s">
        <v>702</v>
      </c>
      <c r="E3" s="927" t="s">
        <v>1333</v>
      </c>
      <c r="F3" s="909" t="s">
        <v>1335</v>
      </c>
      <c r="G3" s="946" t="s">
        <v>752</v>
      </c>
      <c r="H3" s="946" t="s">
        <v>704</v>
      </c>
      <c r="I3" s="209" t="s">
        <v>705</v>
      </c>
      <c r="J3" s="211" t="s">
        <v>7</v>
      </c>
      <c r="K3" s="212" t="s">
        <v>706</v>
      </c>
      <c r="L3" s="313" t="s">
        <v>707</v>
      </c>
    </row>
    <row r="4" spans="1:12" ht="18.75" customHeight="1" x14ac:dyDescent="0.2">
      <c r="A4" s="152" t="s">
        <v>708</v>
      </c>
      <c r="B4" s="153"/>
      <c r="C4" s="153"/>
      <c r="D4" s="153"/>
      <c r="E4" s="952"/>
      <c r="F4" s="953"/>
      <c r="G4" s="911"/>
      <c r="H4" s="911"/>
      <c r="I4" s="945"/>
      <c r="J4" s="154"/>
      <c r="K4" s="36"/>
      <c r="L4" s="66"/>
    </row>
    <row r="5" spans="1:12" x14ac:dyDescent="0.2">
      <c r="A5" s="155" t="s">
        <v>71</v>
      </c>
      <c r="B5" s="190" t="s">
        <v>633</v>
      </c>
      <c r="C5" s="126"/>
      <c r="D5" s="126"/>
      <c r="E5" s="150">
        <v>8510</v>
      </c>
      <c r="F5" s="929"/>
      <c r="G5" s="923">
        <v>10576</v>
      </c>
      <c r="H5" s="913">
        <f>Tabelle410[[#Totals],[Teilnahmebeiträge Fachseminare]]</f>
        <v>10576</v>
      </c>
      <c r="I5" s="903">
        <v>1500</v>
      </c>
      <c r="J5" s="656">
        <v>318</v>
      </c>
      <c r="K5" s="156"/>
      <c r="L5" s="126"/>
    </row>
    <row r="6" spans="1:12" x14ac:dyDescent="0.2">
      <c r="A6" s="155" t="s">
        <v>84</v>
      </c>
      <c r="B6" s="190" t="s">
        <v>634</v>
      </c>
      <c r="C6" s="126"/>
      <c r="D6" s="126"/>
      <c r="E6" s="150">
        <v>500</v>
      </c>
      <c r="F6" s="929"/>
      <c r="G6" s="923">
        <v>1200</v>
      </c>
      <c r="H6" s="913">
        <f>Tabelle410[[#Totals],[Teilnahmebeiträge Veranstaltungen]]+Tabelle513[[#Totals],[Teilnahmebeiträge Veranstaltungen]]</f>
        <v>1500</v>
      </c>
      <c r="I6" s="903">
        <v>0</v>
      </c>
      <c r="J6" s="656">
        <v>0</v>
      </c>
      <c r="K6" s="156"/>
      <c r="L6" s="126"/>
    </row>
    <row r="7" spans="1:12" ht="16" thickBot="1" x14ac:dyDescent="0.25">
      <c r="A7" s="155" t="s">
        <v>91</v>
      </c>
      <c r="B7" s="190" t="s">
        <v>709</v>
      </c>
      <c r="C7" s="126"/>
      <c r="D7" s="126"/>
      <c r="E7" s="150"/>
      <c r="F7" s="929"/>
      <c r="G7" s="923">
        <v>0</v>
      </c>
      <c r="H7" s="913">
        <f>Tabelle410[[#Totals],[Sonstige Einnahmen]]+Tabelle513[[#Totals],[Sonstige Einnahmen]]</f>
        <v>0</v>
      </c>
      <c r="I7" s="903">
        <v>0</v>
      </c>
      <c r="J7" s="656">
        <v>0</v>
      </c>
      <c r="K7" s="156"/>
      <c r="L7" s="126"/>
    </row>
    <row r="8" spans="1:12" ht="16" thickBot="1" x14ac:dyDescent="0.25">
      <c r="A8" s="157"/>
      <c r="B8" s="158"/>
      <c r="C8" s="158"/>
      <c r="D8" s="158" t="s">
        <v>566</v>
      </c>
      <c r="E8" s="954">
        <f t="shared" ref="E8:F8" si="0">SUBTOTAL(9,E5:E7)</f>
        <v>9010</v>
      </c>
      <c r="F8" s="148">
        <f t="shared" si="0"/>
        <v>0</v>
      </c>
      <c r="G8" s="950">
        <f>SUBTOTAL(9,G5:G7)</f>
        <v>11776</v>
      </c>
      <c r="H8" s="914">
        <f>SUBTOTAL(9,H5:H7)</f>
        <v>12076</v>
      </c>
      <c r="I8" s="904">
        <f>SUBTOTAL(9,I5:I7)</f>
        <v>1500</v>
      </c>
      <c r="J8" s="147">
        <f>SUBTOTAL(9,J5:J7)</f>
        <v>318</v>
      </c>
      <c r="K8" s="159"/>
      <c r="L8" s="314"/>
    </row>
    <row r="9" spans="1:12" ht="18.75" customHeight="1" x14ac:dyDescent="0.2">
      <c r="A9" s="160" t="s">
        <v>119</v>
      </c>
      <c r="B9" s="161"/>
      <c r="C9" s="161"/>
      <c r="D9" s="161"/>
      <c r="E9" s="149"/>
      <c r="F9" s="932"/>
      <c r="G9" s="905"/>
      <c r="H9" s="915"/>
      <c r="I9" s="905"/>
      <c r="J9" s="659"/>
      <c r="K9" s="162"/>
      <c r="L9" s="126"/>
    </row>
    <row r="10" spans="1:12" x14ac:dyDescent="0.2">
      <c r="A10" s="163" t="s">
        <v>134</v>
      </c>
      <c r="B10" s="126" t="s">
        <v>710</v>
      </c>
      <c r="C10" s="126"/>
      <c r="D10" s="126"/>
      <c r="E10" s="150">
        <v>9600</v>
      </c>
      <c r="F10" s="929"/>
      <c r="G10" s="924">
        <v>9600</v>
      </c>
      <c r="H10" s="916">
        <f>800*12</f>
        <v>9600</v>
      </c>
      <c r="I10" s="906">
        <f>800*12</f>
        <v>9600</v>
      </c>
      <c r="J10" s="656">
        <v>6120</v>
      </c>
      <c r="K10" s="156"/>
      <c r="L10" s="126"/>
    </row>
    <row r="11" spans="1:12" x14ac:dyDescent="0.2">
      <c r="A11" s="163" t="s">
        <v>138</v>
      </c>
      <c r="B11" s="190" t="s">
        <v>711</v>
      </c>
      <c r="C11" s="126"/>
      <c r="D11" s="126"/>
      <c r="E11" s="150">
        <v>5270</v>
      </c>
      <c r="F11" s="929"/>
      <c r="G11" s="923">
        <v>5270</v>
      </c>
      <c r="H11" s="913">
        <f>Tabelle615[[#Totals],[Aufwandsentschädigungen]]</f>
        <v>5270</v>
      </c>
      <c r="I11" s="903">
        <v>1400</v>
      </c>
      <c r="J11" s="656">
        <v>1160</v>
      </c>
      <c r="K11" s="156"/>
      <c r="L11" s="126"/>
    </row>
    <row r="12" spans="1:12" x14ac:dyDescent="0.2">
      <c r="A12" s="163" t="s">
        <v>1187</v>
      </c>
      <c r="B12" s="190" t="s">
        <v>713</v>
      </c>
      <c r="C12" s="126"/>
      <c r="D12" s="126"/>
      <c r="E12" s="150">
        <v>3570</v>
      </c>
      <c r="F12" s="929"/>
      <c r="G12" s="923">
        <v>3570</v>
      </c>
      <c r="H12" s="913">
        <f>Tabelle615[[#Totals],[Interne Reisekosten]]</f>
        <v>3570</v>
      </c>
      <c r="I12" s="903">
        <v>1000</v>
      </c>
      <c r="J12" s="656">
        <v>501.44</v>
      </c>
      <c r="K12" s="156"/>
      <c r="L12" s="126"/>
    </row>
    <row r="13" spans="1:12" ht="15" customHeight="1" x14ac:dyDescent="0.2">
      <c r="A13" s="163" t="s">
        <v>271</v>
      </c>
      <c r="B13" s="190" t="s">
        <v>714</v>
      </c>
      <c r="C13" s="164"/>
      <c r="D13" s="164"/>
      <c r="E13" s="955">
        <v>2670</v>
      </c>
      <c r="F13" s="935"/>
      <c r="G13" s="923">
        <v>2670</v>
      </c>
      <c r="H13" s="947">
        <f>Tabelle615[[#Totals],[Raum + Unterkunft intern]]</f>
        <v>2670</v>
      </c>
      <c r="I13" s="903">
        <v>500</v>
      </c>
      <c r="J13" s="657">
        <v>302.39999999999998</v>
      </c>
      <c r="K13" s="165"/>
      <c r="L13" s="126"/>
    </row>
    <row r="14" spans="1:12" x14ac:dyDescent="0.2">
      <c r="A14" s="163" t="s">
        <v>296</v>
      </c>
      <c r="B14" s="192" t="s">
        <v>715</v>
      </c>
      <c r="C14" s="66"/>
      <c r="D14" s="66"/>
      <c r="E14" s="956">
        <v>1200</v>
      </c>
      <c r="F14" s="937"/>
      <c r="G14" s="923">
        <v>1200</v>
      </c>
      <c r="H14" s="948">
        <f>Tabelle615[[#Totals],[Repräsentation/Bewirtung intern]]</f>
        <v>1200</v>
      </c>
      <c r="I14" s="903">
        <v>100</v>
      </c>
      <c r="J14" s="658">
        <v>0</v>
      </c>
      <c r="K14" s="166"/>
      <c r="L14" s="66"/>
    </row>
    <row r="15" spans="1:12" x14ac:dyDescent="0.2">
      <c r="A15" s="163" t="s">
        <v>342</v>
      </c>
      <c r="B15" s="190" t="s">
        <v>716</v>
      </c>
      <c r="C15" s="126"/>
      <c r="D15" s="126"/>
      <c r="E15" s="150">
        <v>8510</v>
      </c>
      <c r="F15" s="929"/>
      <c r="G15" s="923">
        <v>8510</v>
      </c>
      <c r="H15" s="913">
        <f>Tabelle410[[#Totals],[Honorare Dozierende Fachseminare]]</f>
        <v>8510</v>
      </c>
      <c r="I15" s="903">
        <v>2100</v>
      </c>
      <c r="J15" s="656">
        <v>4544.7</v>
      </c>
      <c r="K15" s="156"/>
      <c r="L15" s="126"/>
    </row>
    <row r="16" spans="1:12" x14ac:dyDescent="0.2">
      <c r="A16" s="163" t="s">
        <v>353</v>
      </c>
      <c r="B16" s="191" t="s">
        <v>323</v>
      </c>
      <c r="C16" s="66"/>
      <c r="D16" s="66"/>
      <c r="E16" s="956">
        <v>2640</v>
      </c>
      <c r="F16" s="937"/>
      <c r="G16" s="923">
        <v>2640</v>
      </c>
      <c r="H16" s="919">
        <f>Tabelle513[[#Totals],[Andere Honorare]]</f>
        <v>2640</v>
      </c>
      <c r="I16" s="903">
        <v>600</v>
      </c>
      <c r="J16" s="658">
        <v>0</v>
      </c>
      <c r="K16" s="166"/>
      <c r="L16" s="66"/>
    </row>
    <row r="17" spans="1:21" x14ac:dyDescent="0.2">
      <c r="A17" s="163" t="s">
        <v>363</v>
      </c>
      <c r="B17" s="191" t="s">
        <v>717</v>
      </c>
      <c r="C17" s="66"/>
      <c r="D17" s="66"/>
      <c r="E17" s="956">
        <v>100</v>
      </c>
      <c r="F17" s="937"/>
      <c r="G17" s="923">
        <v>100</v>
      </c>
      <c r="H17" s="919">
        <f>Tabelle410[[#Totals],[Externe Reisekosten]]</f>
        <v>100</v>
      </c>
      <c r="I17" s="903">
        <v>300</v>
      </c>
      <c r="J17" s="658">
        <v>0</v>
      </c>
      <c r="K17" s="166"/>
      <c r="L17" s="66"/>
    </row>
    <row r="18" spans="1:21" x14ac:dyDescent="0.2">
      <c r="A18" s="163" t="s">
        <v>371</v>
      </c>
      <c r="B18" s="191" t="s">
        <v>368</v>
      </c>
      <c r="C18" s="66"/>
      <c r="D18" s="66"/>
      <c r="E18" s="956">
        <v>340</v>
      </c>
      <c r="F18" s="937"/>
      <c r="G18" s="923">
        <v>340</v>
      </c>
      <c r="H18" s="919">
        <f>Tabelle410[[#Totals],[Repräsentation/Bewirtung extern]]+Tabelle513[[#Totals],[Repräsentation/Bewirtung extern]]</f>
        <v>340</v>
      </c>
      <c r="I18" s="903">
        <v>100</v>
      </c>
      <c r="J18" s="658">
        <v>0</v>
      </c>
      <c r="K18" s="166"/>
      <c r="L18" s="66"/>
    </row>
    <row r="19" spans="1:21" x14ac:dyDescent="0.2">
      <c r="A19" s="163" t="s">
        <v>383</v>
      </c>
      <c r="B19" s="191" t="s">
        <v>718</v>
      </c>
      <c r="C19" s="66"/>
      <c r="D19" s="66"/>
      <c r="E19" s="956">
        <v>4500</v>
      </c>
      <c r="F19" s="937"/>
      <c r="G19" s="923">
        <v>200</v>
      </c>
      <c r="H19" s="919">
        <f>Tabelle410[[#Totals],[Raum + Unterkunft extern]]+Tabelle513[[#Totals],[Raum + Unterkunft extern]]</f>
        <v>180</v>
      </c>
      <c r="I19" s="903">
        <v>500</v>
      </c>
      <c r="J19" s="658">
        <v>0</v>
      </c>
      <c r="K19" s="166"/>
      <c r="L19" s="66"/>
    </row>
    <row r="20" spans="1:21" x14ac:dyDescent="0.2">
      <c r="A20" s="163" t="s">
        <v>393</v>
      </c>
      <c r="B20" s="192" t="s">
        <v>1213</v>
      </c>
      <c r="C20" s="66"/>
      <c r="D20" s="66"/>
      <c r="E20" s="956">
        <v>1500</v>
      </c>
      <c r="F20" s="937"/>
      <c r="G20" s="923">
        <v>1500</v>
      </c>
      <c r="H20" s="948">
        <f>Tabelle410[[#Totals],[Verwaltungs- und Druckkosten]]+Tabelle513[[#Totals],[Druckkosten]]</f>
        <v>1531</v>
      </c>
      <c r="I20" s="903">
        <v>0</v>
      </c>
      <c r="J20" s="658">
        <v>0</v>
      </c>
      <c r="K20" s="166"/>
      <c r="L20" s="66"/>
    </row>
    <row r="21" spans="1:21" x14ac:dyDescent="0.2">
      <c r="A21" s="163" t="s">
        <v>405</v>
      </c>
      <c r="B21" s="192" t="s">
        <v>402</v>
      </c>
      <c r="C21" s="66"/>
      <c r="D21" s="66"/>
      <c r="E21" s="956">
        <v>2300</v>
      </c>
      <c r="F21" s="937"/>
      <c r="G21" s="923">
        <v>1800</v>
      </c>
      <c r="H21" s="948">
        <f>Tabelle513[[#Totals],[Sonstige Kosten]]</f>
        <v>1880</v>
      </c>
      <c r="I21" s="903">
        <v>500</v>
      </c>
      <c r="J21" s="658">
        <v>30</v>
      </c>
      <c r="K21" s="166"/>
      <c r="L21" s="66"/>
    </row>
    <row r="22" spans="1:21" ht="16" thickBot="1" x14ac:dyDescent="0.25">
      <c r="A22" s="163" t="s">
        <v>431</v>
      </c>
      <c r="B22" s="192" t="s">
        <v>658</v>
      </c>
      <c r="C22" s="66"/>
      <c r="D22" s="66"/>
      <c r="E22" s="956">
        <v>200</v>
      </c>
      <c r="F22" s="937"/>
      <c r="G22" s="925">
        <v>200</v>
      </c>
      <c r="H22" s="949">
        <f>Tabelle513[[#Totals],[Rechtsangelegenheiten]]</f>
        <v>200</v>
      </c>
      <c r="I22" s="907">
        <v>200</v>
      </c>
      <c r="J22" s="658">
        <v>0</v>
      </c>
      <c r="K22" s="166"/>
      <c r="L22" s="66"/>
    </row>
    <row r="23" spans="1:21" ht="16" thickBot="1" x14ac:dyDescent="0.25">
      <c r="A23" s="167"/>
      <c r="B23" s="168"/>
      <c r="C23" s="168"/>
      <c r="D23" s="169" t="s">
        <v>566</v>
      </c>
      <c r="E23" s="957">
        <f>SUBTOTAL(109,E10:E22)</f>
        <v>42400</v>
      </c>
      <c r="F23" s="958">
        <f t="shared" ref="F23" si="1">SUBTOTAL(109,F10:F22)</f>
        <v>0</v>
      </c>
      <c r="G23" s="926">
        <f>SUBTOTAL(109,G10:G22)</f>
        <v>37600</v>
      </c>
      <c r="H23" s="922">
        <f>SUBTOTAL(109,H10:H22)</f>
        <v>37691</v>
      </c>
      <c r="I23" s="908">
        <f>SUBTOTAL(109,I10:I22)</f>
        <v>16900</v>
      </c>
      <c r="J23" s="151">
        <f>SUBTOTAL(109,J10:J22)</f>
        <v>12658.539999999999</v>
      </c>
      <c r="K23" s="170"/>
      <c r="L23" s="612"/>
    </row>
    <row r="24" spans="1:21" ht="16" thickBot="1" x14ac:dyDescent="0.25">
      <c r="A24" s="64"/>
      <c r="B24" s="66"/>
      <c r="C24" s="66"/>
      <c r="D24" s="66"/>
      <c r="E24" s="66"/>
      <c r="F24" s="66"/>
      <c r="G24" s="66"/>
      <c r="H24" s="66"/>
    </row>
    <row r="25" spans="1:21" ht="16" thickBot="1" x14ac:dyDescent="0.25">
      <c r="A25" s="64"/>
      <c r="B25" s="66"/>
      <c r="C25" s="66"/>
      <c r="D25" s="172" t="s">
        <v>719</v>
      </c>
      <c r="E25" s="175">
        <f>E8-Tabelle1822[[#Totals],[Freie Eingabe HHHJ 23-24]]</f>
        <v>-33390</v>
      </c>
      <c r="F25" s="175"/>
      <c r="G25" s="175">
        <f>G8-Tabelle1822[[#Totals],[Freie Eingabe Plan 22-23]]</f>
        <v>-25824</v>
      </c>
      <c r="H25" s="175">
        <f>H8-Tabelle1822[[#Totals],[Rechnung HHJ 22-23]]</f>
        <v>-25615</v>
      </c>
      <c r="I25" s="175">
        <f>I8-Tabelle1822[[#Totals],[Freie Eingabe Plan HHJ 21-22]]</f>
        <v>-15400</v>
      </c>
      <c r="J25" s="315"/>
      <c r="K25" s="175"/>
    </row>
    <row r="26" spans="1:21" x14ac:dyDescent="0.2">
      <c r="A26" s="63"/>
      <c r="B26" s="62"/>
      <c r="C26" s="62"/>
      <c r="D26" s="62"/>
      <c r="E26" s="62"/>
      <c r="F26" s="62"/>
      <c r="G26" s="62"/>
      <c r="H26" s="62"/>
    </row>
    <row r="27" spans="1:21" ht="16" x14ac:dyDescent="0.2">
      <c r="B27" s="100" t="s">
        <v>720</v>
      </c>
      <c r="C27" s="62"/>
      <c r="D27" s="62"/>
      <c r="E27" s="74"/>
      <c r="F27" s="62"/>
      <c r="G27" s="62"/>
      <c r="H27" s="62"/>
    </row>
    <row r="28" spans="1:21" ht="16" x14ac:dyDescent="0.2">
      <c r="B28" s="63" t="s">
        <v>721</v>
      </c>
      <c r="C28" s="62"/>
      <c r="D28" s="62"/>
      <c r="E28" s="74"/>
      <c r="F28" s="62"/>
      <c r="G28" s="62"/>
      <c r="H28" s="62"/>
    </row>
    <row r="29" spans="1:21" x14ac:dyDescent="0.2">
      <c r="B29" s="63" t="s">
        <v>722</v>
      </c>
      <c r="C29" s="66"/>
      <c r="D29" s="66"/>
      <c r="E29" s="75"/>
      <c r="F29" s="66"/>
      <c r="G29" s="66"/>
      <c r="H29" s="66"/>
    </row>
    <row r="30" spans="1:21" x14ac:dyDescent="0.2">
      <c r="A30" s="64"/>
      <c r="B30" s="66"/>
      <c r="C30" s="66"/>
      <c r="D30" s="66"/>
      <c r="E30" s="75"/>
      <c r="F30" s="66"/>
      <c r="G30" s="66"/>
      <c r="H30" s="66"/>
    </row>
    <row r="31" spans="1:21" x14ac:dyDescent="0.2">
      <c r="A31" s="63"/>
      <c r="B31" s="62"/>
      <c r="C31" s="62"/>
      <c r="D31" s="62"/>
      <c r="E31" s="62"/>
      <c r="F31" s="62"/>
      <c r="G31" s="62"/>
      <c r="H31" s="62"/>
    </row>
    <row r="32" spans="1:21" ht="16" x14ac:dyDescent="0.2">
      <c r="A32" s="7"/>
      <c r="B32" s="7" t="s">
        <v>1215</v>
      </c>
      <c r="D32" s="6" t="s">
        <v>723</v>
      </c>
      <c r="R32" s="7"/>
      <c r="S32" s="7" t="s">
        <v>1215</v>
      </c>
      <c r="U32" s="6" t="s">
        <v>723</v>
      </c>
    </row>
    <row r="33" spans="1:31" ht="17" thickBot="1" x14ac:dyDescent="0.25">
      <c r="A33" s="7"/>
      <c r="B33" s="944" t="s">
        <v>1359</v>
      </c>
      <c r="R33" s="7"/>
    </row>
    <row r="34" spans="1:31" ht="16" thickBot="1" x14ac:dyDescent="0.25">
      <c r="A34" s="316"/>
      <c r="B34" s="317" t="s">
        <v>639</v>
      </c>
      <c r="C34" s="318" t="s">
        <v>71</v>
      </c>
      <c r="D34" s="319" t="s">
        <v>84</v>
      </c>
      <c r="E34" s="319" t="s">
        <v>91</v>
      </c>
      <c r="F34" s="320" t="s">
        <v>342</v>
      </c>
      <c r="G34" s="320"/>
      <c r="H34" s="320" t="s">
        <v>363</v>
      </c>
      <c r="I34" s="320" t="s">
        <v>371</v>
      </c>
      <c r="J34" s="320" t="s">
        <v>383</v>
      </c>
      <c r="K34" s="320" t="s">
        <v>393</v>
      </c>
      <c r="L34" s="321"/>
      <c r="R34" s="316"/>
      <c r="S34" s="317" t="s">
        <v>639</v>
      </c>
      <c r="T34" s="318" t="s">
        <v>71</v>
      </c>
      <c r="U34" s="319" t="s">
        <v>84</v>
      </c>
      <c r="V34" s="319" t="s">
        <v>91</v>
      </c>
      <c r="W34" s="320" t="s">
        <v>342</v>
      </c>
      <c r="X34" s="320"/>
      <c r="Y34" s="320" t="s">
        <v>363</v>
      </c>
      <c r="Z34" s="320" t="s">
        <v>371</v>
      </c>
      <c r="AA34" s="320" t="s">
        <v>383</v>
      </c>
      <c r="AB34" s="320" t="s">
        <v>393</v>
      </c>
      <c r="AC34" s="321"/>
    </row>
    <row r="35" spans="1:31" ht="61" thickBot="1" x14ac:dyDescent="0.25">
      <c r="A35" s="81" t="s">
        <v>724</v>
      </c>
      <c r="B35" s="119" t="s">
        <v>725</v>
      </c>
      <c r="C35" s="322" t="s">
        <v>726</v>
      </c>
      <c r="D35" s="323" t="s">
        <v>634</v>
      </c>
      <c r="E35" s="323" t="s">
        <v>727</v>
      </c>
      <c r="F35" s="323" t="s">
        <v>320</v>
      </c>
      <c r="G35" s="323" t="s">
        <v>732</v>
      </c>
      <c r="H35" s="323" t="s">
        <v>326</v>
      </c>
      <c r="I35" s="323" t="s">
        <v>728</v>
      </c>
      <c r="J35" s="323" t="s">
        <v>729</v>
      </c>
      <c r="K35" s="323" t="s">
        <v>1206</v>
      </c>
      <c r="L35" s="324" t="s">
        <v>590</v>
      </c>
      <c r="R35" s="81" t="s">
        <v>724</v>
      </c>
      <c r="S35" s="119" t="s">
        <v>725</v>
      </c>
      <c r="T35" s="322" t="s">
        <v>726</v>
      </c>
      <c r="U35" s="323" t="s">
        <v>634</v>
      </c>
      <c r="V35" s="323" t="s">
        <v>727</v>
      </c>
      <c r="W35" s="323" t="s">
        <v>320</v>
      </c>
      <c r="X35" s="323" t="s">
        <v>732</v>
      </c>
      <c r="Y35" s="323" t="s">
        <v>326</v>
      </c>
      <c r="Z35" s="323" t="s">
        <v>728</v>
      </c>
      <c r="AA35" s="323" t="s">
        <v>729</v>
      </c>
      <c r="AB35" s="323" t="s">
        <v>1206</v>
      </c>
      <c r="AC35" s="324" t="s">
        <v>590</v>
      </c>
    </row>
    <row r="36" spans="1:31" s="67" customFormat="1" ht="142.5" customHeight="1" outlineLevel="1" x14ac:dyDescent="0.2">
      <c r="A36" s="76">
        <f>ROW(A1)</f>
        <v>1</v>
      </c>
      <c r="B36" s="606" t="s">
        <v>1249</v>
      </c>
      <c r="C36" s="325"/>
      <c r="D36" s="267"/>
      <c r="E36" s="267"/>
      <c r="F36" s="267"/>
      <c r="G36" s="267"/>
      <c r="H36" s="267"/>
      <c r="I36" s="267"/>
      <c r="J36" s="267"/>
      <c r="K36" s="267"/>
      <c r="L36" s="271">
        <f>SUM(C36:E36)-SUM(F36:K36)</f>
        <v>0</v>
      </c>
      <c r="N36" s="604" t="s">
        <v>1259</v>
      </c>
      <c r="R36" s="76">
        <f t="shared" ref="R36:R56" si="2">ROW(A1)</f>
        <v>1</v>
      </c>
      <c r="S36" s="606" t="s">
        <v>1249</v>
      </c>
      <c r="T36" s="325"/>
      <c r="U36" s="267"/>
      <c r="V36" s="267"/>
      <c r="W36" s="267"/>
      <c r="X36" s="267"/>
      <c r="Y36" s="267"/>
      <c r="Z36" s="267"/>
      <c r="AA36" s="267"/>
      <c r="AB36" s="267"/>
      <c r="AC36" s="271">
        <f>SUM(T36:V36)-SUM(W36:AB36)</f>
        <v>0</v>
      </c>
      <c r="AE36" s="604" t="s">
        <v>1259</v>
      </c>
    </row>
    <row r="37" spans="1:31" s="67" customFormat="1" ht="37.5" customHeight="1" outlineLevel="1" x14ac:dyDescent="0.2">
      <c r="A37" s="76">
        <f t="shared" ref="A37:A56" si="3">ROW(A2)</f>
        <v>2</v>
      </c>
      <c r="B37" s="960" t="s">
        <v>1336</v>
      </c>
      <c r="C37" s="101">
        <v>1650</v>
      </c>
      <c r="D37" s="102"/>
      <c r="E37" s="102"/>
      <c r="F37" s="961">
        <f>5*330</f>
        <v>1650</v>
      </c>
      <c r="G37" s="102"/>
      <c r="H37" s="102"/>
      <c r="I37" s="102"/>
      <c r="J37" s="102"/>
      <c r="K37" s="102"/>
      <c r="L37" s="103">
        <f t="shared" ref="L37:L56" si="4">SUM(C37:E37)-SUM(F37:K37)</f>
        <v>0</v>
      </c>
      <c r="R37" s="76">
        <f t="shared" si="2"/>
        <v>2</v>
      </c>
      <c r="S37" s="249" t="s">
        <v>1248</v>
      </c>
      <c r="T37" s="101">
        <v>2902.5</v>
      </c>
      <c r="U37" s="102"/>
      <c r="V37" s="102"/>
      <c r="W37" s="102">
        <v>2200</v>
      </c>
      <c r="X37" s="102">
        <v>312.5</v>
      </c>
      <c r="Y37" s="102"/>
      <c r="Z37" s="102">
        <v>50</v>
      </c>
      <c r="AA37" s="102"/>
      <c r="AB37" s="102">
        <v>340</v>
      </c>
      <c r="AC37" s="103">
        <f t="shared" ref="AC37:AC56" si="5">SUM(T37:V37)-SUM(W37:AB37)</f>
        <v>0</v>
      </c>
    </row>
    <row r="38" spans="1:31" s="67" customFormat="1" ht="42" customHeight="1" outlineLevel="1" x14ac:dyDescent="0.2">
      <c r="A38" s="76">
        <f t="shared" si="3"/>
        <v>3</v>
      </c>
      <c r="B38" s="960" t="s">
        <v>1337</v>
      </c>
      <c r="C38" s="101">
        <v>1650</v>
      </c>
      <c r="D38" s="102"/>
      <c r="E38" s="102"/>
      <c r="F38" s="961">
        <f>5*330</f>
        <v>1650</v>
      </c>
      <c r="G38" s="102"/>
      <c r="H38" s="102"/>
      <c r="I38" s="102"/>
      <c r="J38" s="102"/>
      <c r="K38" s="102"/>
      <c r="L38" s="103">
        <f t="shared" si="4"/>
        <v>0</v>
      </c>
      <c r="R38" s="76">
        <f t="shared" si="2"/>
        <v>3</v>
      </c>
      <c r="S38" s="249" t="s">
        <v>1227</v>
      </c>
      <c r="T38" s="101">
        <v>3642</v>
      </c>
      <c r="U38" s="102"/>
      <c r="V38" s="102"/>
      <c r="W38" s="102">
        <v>3080</v>
      </c>
      <c r="X38" s="102">
        <v>250</v>
      </c>
      <c r="Y38" s="102"/>
      <c r="Z38" s="102">
        <v>40</v>
      </c>
      <c r="AA38" s="102"/>
      <c r="AB38" s="102">
        <v>272</v>
      </c>
      <c r="AC38" s="103">
        <f t="shared" si="5"/>
        <v>0</v>
      </c>
    </row>
    <row r="39" spans="1:31" s="67" customFormat="1" ht="39.75" customHeight="1" outlineLevel="1" x14ac:dyDescent="0.2">
      <c r="A39" s="76">
        <f t="shared" si="3"/>
        <v>4</v>
      </c>
      <c r="B39" s="960" t="s">
        <v>1338</v>
      </c>
      <c r="C39" s="101">
        <v>1650</v>
      </c>
      <c r="D39" s="102"/>
      <c r="E39" s="102"/>
      <c r="F39" s="961">
        <f>5*330</f>
        <v>1650</v>
      </c>
      <c r="G39" s="102"/>
      <c r="H39" s="102"/>
      <c r="I39" s="102"/>
      <c r="J39" s="102"/>
      <c r="K39" s="102"/>
      <c r="L39" s="103">
        <f t="shared" si="4"/>
        <v>0</v>
      </c>
      <c r="R39" s="76">
        <f t="shared" si="2"/>
        <v>4</v>
      </c>
      <c r="S39" s="249" t="s">
        <v>1226</v>
      </c>
      <c r="T39" s="101">
        <v>2731.5</v>
      </c>
      <c r="U39" s="102"/>
      <c r="V39" s="102"/>
      <c r="W39" s="102">
        <v>2310</v>
      </c>
      <c r="X39" s="102">
        <v>187.5</v>
      </c>
      <c r="Y39" s="102"/>
      <c r="Z39" s="102">
        <v>30</v>
      </c>
      <c r="AA39" s="102"/>
      <c r="AB39" s="102">
        <v>204</v>
      </c>
      <c r="AC39" s="103">
        <f t="shared" si="5"/>
        <v>0</v>
      </c>
    </row>
    <row r="40" spans="1:31" s="67" customFormat="1" ht="16" outlineLevel="1" x14ac:dyDescent="0.2">
      <c r="A40" s="76">
        <f t="shared" si="3"/>
        <v>5</v>
      </c>
      <c r="B40" s="960" t="s">
        <v>1339</v>
      </c>
      <c r="C40" s="101">
        <v>2400</v>
      </c>
      <c r="D40" s="102"/>
      <c r="E40" s="102"/>
      <c r="F40" s="961">
        <f>4*600</f>
        <v>2400</v>
      </c>
      <c r="G40" s="102"/>
      <c r="H40" s="102"/>
      <c r="I40" s="102"/>
      <c r="J40" s="102"/>
      <c r="K40" s="102"/>
      <c r="L40" s="103">
        <f t="shared" si="4"/>
        <v>0</v>
      </c>
      <c r="R40" s="76">
        <f t="shared" si="2"/>
        <v>5</v>
      </c>
      <c r="S40" s="249"/>
      <c r="T40" s="101"/>
      <c r="U40" s="102"/>
      <c r="V40" s="102"/>
      <c r="W40" s="265"/>
      <c r="X40" s="102"/>
      <c r="Y40" s="102"/>
      <c r="Z40" s="102"/>
      <c r="AA40" s="102"/>
      <c r="AB40" s="102"/>
      <c r="AC40" s="103">
        <f t="shared" si="5"/>
        <v>0</v>
      </c>
    </row>
    <row r="41" spans="1:31" s="67" customFormat="1" ht="16" outlineLevel="1" x14ac:dyDescent="0.2">
      <c r="A41" s="76">
        <f t="shared" si="3"/>
        <v>6</v>
      </c>
      <c r="B41" s="960" t="s">
        <v>1340</v>
      </c>
      <c r="C41" s="101">
        <v>500</v>
      </c>
      <c r="D41" s="102"/>
      <c r="E41" s="102"/>
      <c r="F41" s="961">
        <v>500</v>
      </c>
      <c r="G41" s="102"/>
      <c r="H41" s="102"/>
      <c r="I41" s="102"/>
      <c r="J41" s="102"/>
      <c r="K41" s="102"/>
      <c r="L41" s="103">
        <f t="shared" si="4"/>
        <v>0</v>
      </c>
      <c r="R41" s="76">
        <f t="shared" si="2"/>
        <v>6</v>
      </c>
      <c r="S41" s="249"/>
      <c r="T41" s="101"/>
      <c r="U41" s="102"/>
      <c r="V41" s="102"/>
      <c r="W41" s="266"/>
      <c r="X41" s="102"/>
      <c r="Y41" s="102"/>
      <c r="Z41" s="102"/>
      <c r="AA41" s="102"/>
      <c r="AB41" s="102"/>
      <c r="AC41" s="103">
        <f t="shared" si="5"/>
        <v>0</v>
      </c>
    </row>
    <row r="42" spans="1:31" s="67" customFormat="1" outlineLevel="1" x14ac:dyDescent="0.2">
      <c r="A42" s="76">
        <f t="shared" si="3"/>
        <v>7</v>
      </c>
      <c r="B42" s="960"/>
      <c r="C42" s="101"/>
      <c r="D42" s="102"/>
      <c r="E42" s="102"/>
      <c r="F42" s="959"/>
      <c r="G42" s="102"/>
      <c r="H42" s="102"/>
      <c r="I42" s="102"/>
      <c r="J42" s="102"/>
      <c r="K42" s="102"/>
      <c r="L42" s="103">
        <f t="shared" si="4"/>
        <v>0</v>
      </c>
      <c r="R42" s="76">
        <f t="shared" si="2"/>
        <v>7</v>
      </c>
      <c r="S42" s="249"/>
      <c r="T42" s="101"/>
      <c r="U42" s="102"/>
      <c r="V42" s="102"/>
      <c r="W42" s="265"/>
      <c r="X42" s="102"/>
      <c r="Y42" s="102"/>
      <c r="Z42" s="102"/>
      <c r="AA42" s="102"/>
      <c r="AB42" s="102"/>
      <c r="AC42" s="103">
        <f t="shared" si="5"/>
        <v>0</v>
      </c>
    </row>
    <row r="43" spans="1:31" s="67" customFormat="1" outlineLevel="1" x14ac:dyDescent="0.2">
      <c r="A43" s="76">
        <f t="shared" si="3"/>
        <v>8</v>
      </c>
      <c r="B43" s="960"/>
      <c r="C43" s="101"/>
      <c r="D43" s="102"/>
      <c r="E43" s="102"/>
      <c r="F43" s="959"/>
      <c r="G43" s="102"/>
      <c r="H43" s="102"/>
      <c r="I43" s="102"/>
      <c r="J43" s="102"/>
      <c r="K43" s="102"/>
      <c r="L43" s="103">
        <f t="shared" si="4"/>
        <v>0</v>
      </c>
      <c r="R43" s="76">
        <f t="shared" si="2"/>
        <v>8</v>
      </c>
      <c r="S43" s="249"/>
      <c r="T43" s="101"/>
      <c r="U43" s="102"/>
      <c r="V43" s="102"/>
      <c r="W43" s="266"/>
      <c r="X43" s="102"/>
      <c r="Y43" s="102"/>
      <c r="Z43" s="102"/>
      <c r="AA43" s="102"/>
      <c r="AB43" s="102"/>
      <c r="AC43" s="103">
        <f t="shared" si="5"/>
        <v>0</v>
      </c>
    </row>
    <row r="44" spans="1:31" s="67" customFormat="1" outlineLevel="1" x14ac:dyDescent="0.2">
      <c r="A44" s="76">
        <f t="shared" si="3"/>
        <v>9</v>
      </c>
      <c r="B44" s="960"/>
      <c r="C44" s="101"/>
      <c r="D44" s="102"/>
      <c r="E44" s="102"/>
      <c r="F44" s="959"/>
      <c r="G44" s="102"/>
      <c r="H44" s="102"/>
      <c r="I44" s="102"/>
      <c r="J44" s="102"/>
      <c r="K44" s="102"/>
      <c r="L44" s="103">
        <f t="shared" si="4"/>
        <v>0</v>
      </c>
      <c r="R44" s="76">
        <f t="shared" si="2"/>
        <v>9</v>
      </c>
      <c r="S44" s="249"/>
      <c r="T44" s="101"/>
      <c r="U44" s="102"/>
      <c r="V44" s="102"/>
      <c r="W44" s="265"/>
      <c r="X44" s="102"/>
      <c r="Y44" s="102"/>
      <c r="Z44" s="102"/>
      <c r="AA44" s="102"/>
      <c r="AB44" s="102"/>
      <c r="AC44" s="103">
        <f t="shared" si="5"/>
        <v>0</v>
      </c>
    </row>
    <row r="45" spans="1:31" s="67" customFormat="1" outlineLevel="1" x14ac:dyDescent="0.2">
      <c r="A45" s="76">
        <f t="shared" si="3"/>
        <v>10</v>
      </c>
      <c r="B45" s="249"/>
      <c r="C45" s="101"/>
      <c r="D45" s="102"/>
      <c r="E45" s="102"/>
      <c r="F45" s="266"/>
      <c r="G45" s="102"/>
      <c r="H45" s="102"/>
      <c r="I45" s="102"/>
      <c r="J45" s="102"/>
      <c r="K45" s="102"/>
      <c r="L45" s="103">
        <f t="shared" si="4"/>
        <v>0</v>
      </c>
      <c r="R45" s="76">
        <f t="shared" si="2"/>
        <v>10</v>
      </c>
      <c r="S45" s="249"/>
      <c r="T45" s="101"/>
      <c r="U45" s="102"/>
      <c r="V45" s="102"/>
      <c r="W45" s="266"/>
      <c r="X45" s="102"/>
      <c r="Y45" s="102"/>
      <c r="Z45" s="102"/>
      <c r="AA45" s="102"/>
      <c r="AB45" s="102"/>
      <c r="AC45" s="103">
        <f t="shared" si="5"/>
        <v>0</v>
      </c>
    </row>
    <row r="46" spans="1:31" s="67" customFormat="1" outlineLevel="1" x14ac:dyDescent="0.2">
      <c r="A46" s="76">
        <f t="shared" si="3"/>
        <v>11</v>
      </c>
      <c r="B46" s="249"/>
      <c r="C46" s="101"/>
      <c r="D46" s="102"/>
      <c r="E46" s="102"/>
      <c r="F46" s="265"/>
      <c r="G46" s="102"/>
      <c r="H46" s="102"/>
      <c r="I46" s="102"/>
      <c r="J46" s="102"/>
      <c r="K46" s="102"/>
      <c r="L46" s="103">
        <f t="shared" si="4"/>
        <v>0</v>
      </c>
      <c r="R46" s="76">
        <f t="shared" si="2"/>
        <v>11</v>
      </c>
      <c r="S46" s="249"/>
      <c r="T46" s="101"/>
      <c r="U46" s="102"/>
      <c r="V46" s="102"/>
      <c r="W46" s="265"/>
      <c r="X46" s="102"/>
      <c r="Y46" s="102"/>
      <c r="Z46" s="102"/>
      <c r="AA46" s="102"/>
      <c r="AB46" s="102"/>
      <c r="AC46" s="103">
        <f t="shared" si="5"/>
        <v>0</v>
      </c>
    </row>
    <row r="47" spans="1:31" s="67" customFormat="1" outlineLevel="1" x14ac:dyDescent="0.2">
      <c r="A47" s="76">
        <f t="shared" si="3"/>
        <v>12</v>
      </c>
      <c r="B47" s="249"/>
      <c r="C47" s="101"/>
      <c r="D47" s="102"/>
      <c r="E47" s="102"/>
      <c r="F47" s="102"/>
      <c r="G47" s="102"/>
      <c r="H47" s="102"/>
      <c r="I47" s="102"/>
      <c r="J47" s="102"/>
      <c r="K47" s="102"/>
      <c r="L47" s="103">
        <f t="shared" si="4"/>
        <v>0</v>
      </c>
      <c r="R47" s="76">
        <f t="shared" si="2"/>
        <v>12</v>
      </c>
      <c r="S47" s="249"/>
      <c r="T47" s="101"/>
      <c r="U47" s="102"/>
      <c r="V47" s="102"/>
      <c r="W47" s="102"/>
      <c r="X47" s="102"/>
      <c r="Y47" s="102"/>
      <c r="Z47" s="102"/>
      <c r="AA47" s="102"/>
      <c r="AB47" s="102"/>
      <c r="AC47" s="103">
        <f t="shared" si="5"/>
        <v>0</v>
      </c>
    </row>
    <row r="48" spans="1:31" s="67" customFormat="1" outlineLevel="1" x14ac:dyDescent="0.2">
      <c r="A48" s="76">
        <f t="shared" si="3"/>
        <v>13</v>
      </c>
      <c r="B48" s="249"/>
      <c r="C48" s="101"/>
      <c r="D48" s="102"/>
      <c r="E48" s="102"/>
      <c r="F48" s="102"/>
      <c r="G48" s="102"/>
      <c r="H48" s="102"/>
      <c r="I48" s="102"/>
      <c r="J48" s="102"/>
      <c r="K48" s="102"/>
      <c r="L48" s="103">
        <f t="shared" si="4"/>
        <v>0</v>
      </c>
      <c r="R48" s="76">
        <f t="shared" si="2"/>
        <v>13</v>
      </c>
      <c r="S48" s="249"/>
      <c r="T48" s="101"/>
      <c r="U48" s="102"/>
      <c r="V48" s="102"/>
      <c r="W48" s="102"/>
      <c r="X48" s="102"/>
      <c r="Y48" s="102"/>
      <c r="Z48" s="102"/>
      <c r="AA48" s="102"/>
      <c r="AB48" s="102"/>
      <c r="AC48" s="103">
        <f t="shared" si="5"/>
        <v>0</v>
      </c>
    </row>
    <row r="49" spans="1:32" s="67" customFormat="1" outlineLevel="1" x14ac:dyDescent="0.2">
      <c r="A49" s="76">
        <f t="shared" si="3"/>
        <v>14</v>
      </c>
      <c r="B49" s="249"/>
      <c r="C49" s="101"/>
      <c r="D49" s="102"/>
      <c r="E49" s="102"/>
      <c r="F49" s="102"/>
      <c r="G49" s="102"/>
      <c r="H49" s="102"/>
      <c r="I49" s="102"/>
      <c r="J49" s="102"/>
      <c r="K49" s="102"/>
      <c r="L49" s="103">
        <f t="shared" si="4"/>
        <v>0</v>
      </c>
      <c r="R49" s="76">
        <f t="shared" si="2"/>
        <v>14</v>
      </c>
      <c r="S49" s="249"/>
      <c r="T49" s="101"/>
      <c r="U49" s="102"/>
      <c r="V49" s="102"/>
      <c r="W49" s="102"/>
      <c r="X49" s="102"/>
      <c r="Y49" s="102"/>
      <c r="Z49" s="102"/>
      <c r="AA49" s="102"/>
      <c r="AB49" s="102"/>
      <c r="AC49" s="103">
        <f t="shared" si="5"/>
        <v>0</v>
      </c>
    </row>
    <row r="50" spans="1:32" s="67" customFormat="1" outlineLevel="1" x14ac:dyDescent="0.2">
      <c r="A50" s="76">
        <f t="shared" si="3"/>
        <v>15</v>
      </c>
      <c r="B50" s="249"/>
      <c r="C50" s="101"/>
      <c r="D50" s="102"/>
      <c r="E50" s="102"/>
      <c r="F50" s="102"/>
      <c r="G50" s="102"/>
      <c r="H50" s="102"/>
      <c r="I50" s="102"/>
      <c r="J50" s="102"/>
      <c r="K50" s="102"/>
      <c r="L50" s="103">
        <f t="shared" si="4"/>
        <v>0</v>
      </c>
      <c r="R50" s="76">
        <f t="shared" si="2"/>
        <v>15</v>
      </c>
      <c r="S50" s="249"/>
      <c r="T50" s="101"/>
      <c r="U50" s="102"/>
      <c r="V50" s="102"/>
      <c r="W50" s="102"/>
      <c r="X50" s="102"/>
      <c r="Y50" s="102"/>
      <c r="Z50" s="102"/>
      <c r="AA50" s="102"/>
      <c r="AB50" s="102"/>
      <c r="AC50" s="103">
        <f t="shared" si="5"/>
        <v>0</v>
      </c>
    </row>
    <row r="51" spans="1:32" s="67" customFormat="1" outlineLevel="1" x14ac:dyDescent="0.2">
      <c r="A51" s="76">
        <f t="shared" si="3"/>
        <v>16</v>
      </c>
      <c r="B51" s="249"/>
      <c r="C51" s="101"/>
      <c r="D51" s="102"/>
      <c r="E51" s="102"/>
      <c r="F51" s="102"/>
      <c r="G51" s="102"/>
      <c r="H51" s="102"/>
      <c r="I51" s="102"/>
      <c r="J51" s="102"/>
      <c r="K51" s="102"/>
      <c r="L51" s="103">
        <f t="shared" si="4"/>
        <v>0</v>
      </c>
      <c r="R51" s="76">
        <f t="shared" si="2"/>
        <v>16</v>
      </c>
      <c r="S51" s="249"/>
      <c r="T51" s="101"/>
      <c r="U51" s="102"/>
      <c r="V51" s="102"/>
      <c r="W51" s="102"/>
      <c r="X51" s="102"/>
      <c r="Y51" s="102"/>
      <c r="Z51" s="102"/>
      <c r="AA51" s="102"/>
      <c r="AB51" s="102"/>
      <c r="AC51" s="103">
        <f t="shared" si="5"/>
        <v>0</v>
      </c>
    </row>
    <row r="52" spans="1:32" s="67" customFormat="1" outlineLevel="1" x14ac:dyDescent="0.2">
      <c r="A52" s="76">
        <f t="shared" si="3"/>
        <v>17</v>
      </c>
      <c r="B52" s="249"/>
      <c r="C52" s="101"/>
      <c r="D52" s="102"/>
      <c r="E52" s="102"/>
      <c r="F52" s="102"/>
      <c r="G52" s="102"/>
      <c r="H52" s="102"/>
      <c r="I52" s="102"/>
      <c r="J52" s="102"/>
      <c r="K52" s="102"/>
      <c r="L52" s="103">
        <f t="shared" si="4"/>
        <v>0</v>
      </c>
      <c r="R52" s="76">
        <f t="shared" si="2"/>
        <v>17</v>
      </c>
      <c r="S52" s="249"/>
      <c r="T52" s="101"/>
      <c r="U52" s="102"/>
      <c r="V52" s="102"/>
      <c r="W52" s="102"/>
      <c r="X52" s="102"/>
      <c r="Y52" s="102"/>
      <c r="Z52" s="102"/>
      <c r="AA52" s="102"/>
      <c r="AB52" s="102"/>
      <c r="AC52" s="103">
        <f t="shared" si="5"/>
        <v>0</v>
      </c>
    </row>
    <row r="53" spans="1:32" s="67" customFormat="1" outlineLevel="1" x14ac:dyDescent="0.2">
      <c r="A53" s="76">
        <f t="shared" si="3"/>
        <v>18</v>
      </c>
      <c r="B53" s="249"/>
      <c r="C53" s="101"/>
      <c r="D53" s="102"/>
      <c r="E53" s="102"/>
      <c r="F53" s="102"/>
      <c r="G53" s="102"/>
      <c r="H53" s="102"/>
      <c r="I53" s="102"/>
      <c r="J53" s="102"/>
      <c r="K53" s="102"/>
      <c r="L53" s="103">
        <f t="shared" si="4"/>
        <v>0</v>
      </c>
      <c r="R53" s="76">
        <f t="shared" si="2"/>
        <v>18</v>
      </c>
      <c r="S53" s="249"/>
      <c r="T53" s="101"/>
      <c r="U53" s="102"/>
      <c r="V53" s="102"/>
      <c r="W53" s="102"/>
      <c r="X53" s="102"/>
      <c r="Y53" s="102"/>
      <c r="Z53" s="102"/>
      <c r="AA53" s="102"/>
      <c r="AB53" s="102"/>
      <c r="AC53" s="103">
        <f t="shared" si="5"/>
        <v>0</v>
      </c>
    </row>
    <row r="54" spans="1:32" s="67" customFormat="1" outlineLevel="1" x14ac:dyDescent="0.2">
      <c r="A54" s="76">
        <f t="shared" si="3"/>
        <v>19</v>
      </c>
      <c r="B54" s="249"/>
      <c r="C54" s="101"/>
      <c r="D54" s="102"/>
      <c r="E54" s="102"/>
      <c r="F54" s="102"/>
      <c r="G54" s="102"/>
      <c r="H54" s="102"/>
      <c r="I54" s="102"/>
      <c r="J54" s="102"/>
      <c r="K54" s="102"/>
      <c r="L54" s="103">
        <f t="shared" si="4"/>
        <v>0</v>
      </c>
      <c r="R54" s="76">
        <f t="shared" si="2"/>
        <v>19</v>
      </c>
      <c r="S54" s="249"/>
      <c r="T54" s="101"/>
      <c r="U54" s="102"/>
      <c r="V54" s="102"/>
      <c r="W54" s="102"/>
      <c r="X54" s="102"/>
      <c r="Y54" s="102"/>
      <c r="Z54" s="102"/>
      <c r="AA54" s="102"/>
      <c r="AB54" s="102"/>
      <c r="AC54" s="103">
        <f t="shared" si="5"/>
        <v>0</v>
      </c>
    </row>
    <row r="55" spans="1:32" s="67" customFormat="1" outlineLevel="1" x14ac:dyDescent="0.2">
      <c r="A55" s="76">
        <f t="shared" si="3"/>
        <v>20</v>
      </c>
      <c r="B55" s="249"/>
      <c r="C55" s="101"/>
      <c r="D55" s="102"/>
      <c r="E55" s="102"/>
      <c r="F55" s="102"/>
      <c r="G55" s="102"/>
      <c r="H55" s="102"/>
      <c r="I55" s="102"/>
      <c r="J55" s="102"/>
      <c r="K55" s="102"/>
      <c r="L55" s="103">
        <f t="shared" si="4"/>
        <v>0</v>
      </c>
      <c r="R55" s="76">
        <f t="shared" si="2"/>
        <v>20</v>
      </c>
      <c r="S55" s="249"/>
      <c r="T55" s="101"/>
      <c r="U55" s="102"/>
      <c r="V55" s="102"/>
      <c r="W55" s="102"/>
      <c r="X55" s="102"/>
      <c r="Y55" s="102"/>
      <c r="Z55" s="102"/>
      <c r="AA55" s="102"/>
      <c r="AB55" s="102"/>
      <c r="AC55" s="103">
        <f t="shared" si="5"/>
        <v>0</v>
      </c>
    </row>
    <row r="56" spans="1:32" s="67" customFormat="1" ht="16" outlineLevel="1" x14ac:dyDescent="0.2">
      <c r="A56" s="76">
        <f t="shared" si="3"/>
        <v>21</v>
      </c>
      <c r="B56" s="260" t="s">
        <v>589</v>
      </c>
      <c r="C56" s="104"/>
      <c r="D56" s="105">
        <v>0</v>
      </c>
      <c r="E56" s="105">
        <v>0</v>
      </c>
      <c r="F56" s="105">
        <v>920</v>
      </c>
      <c r="G56" s="105">
        <v>150</v>
      </c>
      <c r="H56" s="105">
        <v>100</v>
      </c>
      <c r="I56" s="105">
        <v>30</v>
      </c>
      <c r="J56" s="105">
        <v>0</v>
      </c>
      <c r="K56" s="105">
        <v>1500</v>
      </c>
      <c r="L56" s="103">
        <f t="shared" si="4"/>
        <v>-2700</v>
      </c>
      <c r="R56" s="76">
        <f t="shared" si="2"/>
        <v>21</v>
      </c>
      <c r="S56" s="260" t="s">
        <v>589</v>
      </c>
      <c r="T56" s="104">
        <v>1300</v>
      </c>
      <c r="U56" s="105">
        <v>0</v>
      </c>
      <c r="V56" s="105">
        <v>0</v>
      </c>
      <c r="W56" s="105">
        <v>920</v>
      </c>
      <c r="X56" s="105">
        <v>150</v>
      </c>
      <c r="Y56" s="105">
        <v>100</v>
      </c>
      <c r="Z56" s="105">
        <v>30</v>
      </c>
      <c r="AA56" s="105">
        <v>0</v>
      </c>
      <c r="AB56" s="105">
        <v>200</v>
      </c>
      <c r="AC56" s="103">
        <f t="shared" si="5"/>
        <v>-100</v>
      </c>
    </row>
    <row r="57" spans="1:32" s="67" customFormat="1" ht="16" outlineLevel="1" thickBot="1" x14ac:dyDescent="0.25">
      <c r="A57" s="76"/>
      <c r="C57" s="107"/>
      <c r="D57" s="102"/>
      <c r="E57" s="102"/>
      <c r="F57" s="108"/>
      <c r="G57" s="102"/>
      <c r="H57" s="102"/>
      <c r="I57" s="102"/>
      <c r="J57" s="102"/>
      <c r="K57" s="102"/>
      <c r="L57" s="109"/>
      <c r="R57" s="76"/>
      <c r="T57" s="107"/>
      <c r="U57" s="102"/>
      <c r="V57" s="102"/>
      <c r="W57" s="108"/>
      <c r="X57" s="102"/>
      <c r="Y57" s="102"/>
      <c r="Z57" s="102"/>
      <c r="AA57" s="102"/>
      <c r="AB57" s="102"/>
      <c r="AC57" s="109"/>
    </row>
    <row r="58" spans="1:32" s="84" customFormat="1" ht="20.25" customHeight="1" thickBot="1" x14ac:dyDescent="0.25">
      <c r="A58" s="82"/>
      <c r="B58" s="83" t="s">
        <v>680</v>
      </c>
      <c r="C58" s="248">
        <f>SUBTOTAL(9,Tabelle41048[Teilnahmebeiträge Fachseminare])</f>
        <v>7850</v>
      </c>
      <c r="D58" s="333">
        <f>SUBTOTAL(9,Tabelle41048[Teilnahmebeiträge Veranstaltungen])</f>
        <v>0</v>
      </c>
      <c r="E58" s="333">
        <f>SUBTOTAL(9,Tabelle41048[Sonstige Einnahmen])</f>
        <v>0</v>
      </c>
      <c r="F58" s="334">
        <f>SUBTOTAL(9,Tabelle41048[Honorare Dozierende Fachseminare])</f>
        <v>8770</v>
      </c>
      <c r="G58" s="334">
        <f>SUBTOTAL(9,Tabelle41048[Aufwandsentschädigungen])</f>
        <v>150</v>
      </c>
      <c r="H58" s="334">
        <f>SUBTOTAL(9,Tabelle41048[Externe Reisekosten])</f>
        <v>100</v>
      </c>
      <c r="I58" s="334">
        <f>SUBTOTAL(9,Tabelle41048[Repräsentation/Bewirtung extern])</f>
        <v>30</v>
      </c>
      <c r="J58" s="334">
        <f>SUBTOTAL(9,Tabelle41048[Raum + Unterkunft extern])</f>
        <v>0</v>
      </c>
      <c r="K58" s="334">
        <f>SUBTOTAL(9,Tabelle41048[Verwaltungs- und Druckkosten])</f>
        <v>1500</v>
      </c>
      <c r="L58" s="610">
        <f>SUBTOTAL(9,Tabelle41048[Gesamt])</f>
        <v>-2700</v>
      </c>
      <c r="R58" s="82"/>
      <c r="S58" s="83" t="s">
        <v>680</v>
      </c>
      <c r="T58" s="248">
        <f>SUBTOTAL(9,Tabelle410[Teilnahmebeiträge Fachseminare])</f>
        <v>10576</v>
      </c>
      <c r="U58" s="333">
        <f>SUBTOTAL(9,Tabelle410[Teilnahmebeiträge Veranstaltungen])</f>
        <v>0</v>
      </c>
      <c r="V58" s="333">
        <f>SUBTOTAL(9,Tabelle410[Sonstige Einnahmen])</f>
        <v>0</v>
      </c>
      <c r="W58" s="334">
        <f>SUBTOTAL(9,Tabelle410[Honorare Dozierende Fachseminare])</f>
        <v>8510</v>
      </c>
      <c r="X58" s="334">
        <f>SUBTOTAL(9,Tabelle410[Aufwandsentschädigungen])</f>
        <v>900</v>
      </c>
      <c r="Y58" s="334">
        <f>SUBTOTAL(9,Tabelle410[Externe Reisekosten])</f>
        <v>100</v>
      </c>
      <c r="Z58" s="334">
        <f>SUBTOTAL(9,Tabelle410[Repräsentation/Bewirtung extern])</f>
        <v>150</v>
      </c>
      <c r="AA58" s="334">
        <f>SUBTOTAL(9,Tabelle410[Raum + Unterkunft extern])</f>
        <v>0</v>
      </c>
      <c r="AB58" s="334">
        <f>SUBTOTAL(9,Tabelle410[Verwaltungs- und Druckkosten])</f>
        <v>1016</v>
      </c>
      <c r="AC58" s="610">
        <f>SUBTOTAL(9,Tabelle410[Gesamt])</f>
        <v>-100</v>
      </c>
    </row>
    <row r="59" spans="1:32" ht="15" customHeight="1" x14ac:dyDescent="0.25">
      <c r="A59" s="11"/>
      <c r="R59" s="11"/>
    </row>
    <row r="60" spans="1:32" s="61" customFormat="1" ht="16" x14ac:dyDescent="0.2">
      <c r="A60" s="7"/>
      <c r="B60" s="7" t="s">
        <v>730</v>
      </c>
      <c r="D60" s="6" t="s">
        <v>723</v>
      </c>
      <c r="R60" s="7"/>
      <c r="S60" s="7" t="s">
        <v>730</v>
      </c>
      <c r="U60" s="6" t="s">
        <v>723</v>
      </c>
    </row>
    <row r="61" spans="1:32" ht="15.75" customHeight="1" thickBot="1" x14ac:dyDescent="0.3">
      <c r="A61" s="11"/>
      <c r="R61" s="11"/>
    </row>
    <row r="62" spans="1:32" ht="16" thickBot="1" x14ac:dyDescent="0.25">
      <c r="A62" s="86"/>
      <c r="B62" s="122" t="s">
        <v>639</v>
      </c>
      <c r="C62" s="77" t="s">
        <v>84</v>
      </c>
      <c r="D62" s="78" t="s">
        <v>91</v>
      </c>
      <c r="E62" s="79" t="s">
        <v>138</v>
      </c>
      <c r="F62" s="79" t="s">
        <v>246</v>
      </c>
      <c r="G62" s="79" t="s">
        <v>271</v>
      </c>
      <c r="H62" s="79" t="s">
        <v>296</v>
      </c>
      <c r="I62" s="79" t="s">
        <v>371</v>
      </c>
      <c r="J62" s="79" t="s">
        <v>383</v>
      </c>
      <c r="K62" s="79" t="s">
        <v>393</v>
      </c>
      <c r="L62" s="79" t="s">
        <v>405</v>
      </c>
      <c r="M62" s="79" t="s">
        <v>431</v>
      </c>
      <c r="N62" s="601" t="s">
        <v>353</v>
      </c>
      <c r="O62" s="80"/>
      <c r="R62" s="86"/>
      <c r="S62" s="122" t="s">
        <v>639</v>
      </c>
      <c r="T62" s="77" t="s">
        <v>84</v>
      </c>
      <c r="U62" s="78" t="s">
        <v>91</v>
      </c>
      <c r="V62" s="79" t="s">
        <v>138</v>
      </c>
      <c r="W62" s="79" t="s">
        <v>246</v>
      </c>
      <c r="X62" s="79" t="s">
        <v>271</v>
      </c>
      <c r="Y62" s="79" t="s">
        <v>296</v>
      </c>
      <c r="Z62" s="79" t="s">
        <v>371</v>
      </c>
      <c r="AA62" s="79" t="s">
        <v>383</v>
      </c>
      <c r="AB62" s="79" t="s">
        <v>393</v>
      </c>
      <c r="AC62" s="79" t="s">
        <v>405</v>
      </c>
      <c r="AD62" s="79" t="s">
        <v>431</v>
      </c>
      <c r="AE62" s="601" t="s">
        <v>353</v>
      </c>
      <c r="AF62" s="80"/>
    </row>
    <row r="63" spans="1:32" ht="61" thickBot="1" x14ac:dyDescent="0.25">
      <c r="A63" s="87" t="s">
        <v>724</v>
      </c>
      <c r="B63" s="85" t="s">
        <v>731</v>
      </c>
      <c r="C63" s="88" t="s">
        <v>634</v>
      </c>
      <c r="D63" s="85" t="s">
        <v>727</v>
      </c>
      <c r="E63" s="85" t="s">
        <v>732</v>
      </c>
      <c r="F63" s="85" t="s">
        <v>627</v>
      </c>
      <c r="G63" s="85" t="s">
        <v>733</v>
      </c>
      <c r="H63" s="85" t="s">
        <v>734</v>
      </c>
      <c r="I63" s="85" t="s">
        <v>728</v>
      </c>
      <c r="J63" s="85" t="s">
        <v>729</v>
      </c>
      <c r="K63" s="85" t="s">
        <v>334</v>
      </c>
      <c r="L63" s="85" t="s">
        <v>315</v>
      </c>
      <c r="M63" s="85" t="s">
        <v>658</v>
      </c>
      <c r="N63" s="85" t="s">
        <v>323</v>
      </c>
      <c r="O63" s="89" t="s">
        <v>590</v>
      </c>
      <c r="R63" s="87" t="s">
        <v>724</v>
      </c>
      <c r="S63" s="85" t="s">
        <v>731</v>
      </c>
      <c r="T63" s="88" t="s">
        <v>634</v>
      </c>
      <c r="U63" s="85" t="s">
        <v>727</v>
      </c>
      <c r="V63" s="85" t="s">
        <v>732</v>
      </c>
      <c r="W63" s="85" t="s">
        <v>627</v>
      </c>
      <c r="X63" s="85" t="s">
        <v>733</v>
      </c>
      <c r="Y63" s="85" t="s">
        <v>734</v>
      </c>
      <c r="Z63" s="85" t="s">
        <v>728</v>
      </c>
      <c r="AA63" s="85" t="s">
        <v>729</v>
      </c>
      <c r="AB63" s="85" t="s">
        <v>334</v>
      </c>
      <c r="AC63" s="85" t="s">
        <v>315</v>
      </c>
      <c r="AD63" s="85" t="s">
        <v>658</v>
      </c>
      <c r="AE63" s="85" t="s">
        <v>323</v>
      </c>
      <c r="AF63" s="89" t="s">
        <v>590</v>
      </c>
    </row>
    <row r="64" spans="1:32" s="67" customFormat="1" outlineLevel="1" x14ac:dyDescent="0.2">
      <c r="A64" s="235">
        <f>ROW(A1)</f>
        <v>1</v>
      </c>
      <c r="B64" s="251" t="s">
        <v>735</v>
      </c>
      <c r="C64" s="328"/>
      <c r="D64" s="329"/>
      <c r="E64" s="329"/>
      <c r="F64" s="329"/>
      <c r="G64" s="329"/>
      <c r="H64" s="329"/>
      <c r="I64" s="329"/>
      <c r="J64" s="329"/>
      <c r="K64" s="329"/>
      <c r="L64" s="329">
        <v>160</v>
      </c>
      <c r="M64" s="329"/>
      <c r="N64" s="329"/>
      <c r="O64" s="243">
        <f t="shared" ref="O64:O75" si="6">SUM(C64:D64)-SUM(F64:N64)</f>
        <v>-160</v>
      </c>
      <c r="R64" s="235">
        <f t="shared" ref="R64:R75" si="7">ROW(A1)</f>
        <v>1</v>
      </c>
      <c r="S64" s="251" t="s">
        <v>735</v>
      </c>
      <c r="T64" s="328"/>
      <c r="U64" s="329"/>
      <c r="V64" s="329"/>
      <c r="W64" s="329"/>
      <c r="X64" s="329"/>
      <c r="Y64" s="329"/>
      <c r="Z64" s="329"/>
      <c r="AA64" s="329"/>
      <c r="AB64" s="329"/>
      <c r="AC64" s="329">
        <v>160</v>
      </c>
      <c r="AD64" s="329"/>
      <c r="AE64" s="329"/>
      <c r="AF64" s="243">
        <f t="shared" ref="AF64:AF75" si="8">SUM(T64:U64)-SUM(W64:AE64)</f>
        <v>-160</v>
      </c>
    </row>
    <row r="65" spans="1:32" s="67" customFormat="1" outlineLevel="1" x14ac:dyDescent="0.2">
      <c r="A65" s="235">
        <f t="shared" ref="A65:A75" si="9">ROW(A2)</f>
        <v>2</v>
      </c>
      <c r="B65" s="236" t="s">
        <v>1224</v>
      </c>
      <c r="C65" s="237"/>
      <c r="D65" s="238"/>
      <c r="E65" s="238"/>
      <c r="F65" s="238"/>
      <c r="G65" s="238"/>
      <c r="H65" s="238"/>
      <c r="I65" s="238"/>
      <c r="J65" s="238"/>
      <c r="K65" s="238"/>
      <c r="L65" s="238"/>
      <c r="M65" s="238"/>
      <c r="N65" s="238"/>
      <c r="O65" s="243">
        <f t="shared" si="6"/>
        <v>0</v>
      </c>
      <c r="R65" s="235">
        <f t="shared" si="7"/>
        <v>2</v>
      </c>
      <c r="S65" s="236" t="s">
        <v>1224</v>
      </c>
      <c r="T65" s="237"/>
      <c r="U65" s="238"/>
      <c r="V65" s="238"/>
      <c r="W65" s="238"/>
      <c r="X65" s="238"/>
      <c r="Y65" s="238"/>
      <c r="Z65" s="238"/>
      <c r="AA65" s="238"/>
      <c r="AB65" s="238"/>
      <c r="AC65" s="238">
        <v>900</v>
      </c>
      <c r="AD65" s="238"/>
      <c r="AE65" s="238"/>
      <c r="AF65" s="243">
        <f t="shared" si="8"/>
        <v>-900</v>
      </c>
    </row>
    <row r="66" spans="1:32" s="67" customFormat="1" ht="30" customHeight="1" outlineLevel="1" x14ac:dyDescent="0.2">
      <c r="A66" s="235">
        <f t="shared" si="9"/>
        <v>3</v>
      </c>
      <c r="B66" s="236" t="s">
        <v>1341</v>
      </c>
      <c r="C66" s="237"/>
      <c r="D66" s="238"/>
      <c r="E66" s="238"/>
      <c r="F66" s="238"/>
      <c r="G66" s="238"/>
      <c r="H66" s="238"/>
      <c r="I66" s="238"/>
      <c r="J66" s="238"/>
      <c r="K66" s="238"/>
      <c r="L66" s="238"/>
      <c r="M66" s="238"/>
      <c r="N66" s="238"/>
      <c r="O66" s="243">
        <f t="shared" si="6"/>
        <v>0</v>
      </c>
      <c r="R66" s="235">
        <f t="shared" si="7"/>
        <v>3</v>
      </c>
      <c r="S66" s="236" t="s">
        <v>1228</v>
      </c>
      <c r="T66" s="237">
        <v>1000</v>
      </c>
      <c r="U66" s="238"/>
      <c r="V66" s="238">
        <v>125</v>
      </c>
      <c r="W66" s="238"/>
      <c r="X66" s="238"/>
      <c r="Y66" s="238"/>
      <c r="Z66" s="238">
        <v>20</v>
      </c>
      <c r="AA66" s="238"/>
      <c r="AB66" s="238"/>
      <c r="AC66" s="238">
        <v>150</v>
      </c>
      <c r="AD66" s="238"/>
      <c r="AE66" s="238">
        <v>1200</v>
      </c>
      <c r="AF66" s="243">
        <f t="shared" si="8"/>
        <v>-370</v>
      </c>
    </row>
    <row r="67" spans="1:32" s="67" customFormat="1" ht="26.25" customHeight="1" outlineLevel="1" x14ac:dyDescent="0.2">
      <c r="A67" s="235">
        <f t="shared" si="9"/>
        <v>4</v>
      </c>
      <c r="B67" s="236" t="s">
        <v>1342</v>
      </c>
      <c r="C67" s="237"/>
      <c r="D67" s="238"/>
      <c r="E67" s="238"/>
      <c r="F67" s="238"/>
      <c r="G67" s="238"/>
      <c r="H67" s="238"/>
      <c r="I67" s="238"/>
      <c r="J67" s="238"/>
      <c r="K67" s="238"/>
      <c r="L67" s="238"/>
      <c r="M67" s="238"/>
      <c r="N67" s="238"/>
      <c r="O67" s="243">
        <f t="shared" si="6"/>
        <v>0</v>
      </c>
      <c r="R67" s="235">
        <f t="shared" si="7"/>
        <v>4</v>
      </c>
      <c r="S67" s="236" t="s">
        <v>1229</v>
      </c>
      <c r="T67" s="237">
        <v>500</v>
      </c>
      <c r="U67" s="238"/>
      <c r="V67" s="238">
        <v>125</v>
      </c>
      <c r="W67" s="238"/>
      <c r="X67" s="238"/>
      <c r="Y67" s="238"/>
      <c r="Z67" s="238">
        <v>20</v>
      </c>
      <c r="AA67" s="238"/>
      <c r="AB67" s="238"/>
      <c r="AC67" s="238">
        <v>150</v>
      </c>
      <c r="AD67" s="238"/>
      <c r="AE67" s="238">
        <v>440</v>
      </c>
      <c r="AF67" s="243">
        <f t="shared" si="8"/>
        <v>-110</v>
      </c>
    </row>
    <row r="68" spans="1:32" s="67" customFormat="1" ht="30.75" customHeight="1" outlineLevel="1" x14ac:dyDescent="0.2">
      <c r="A68" s="235">
        <f t="shared" si="9"/>
        <v>5</v>
      </c>
      <c r="B68" s="236" t="s">
        <v>1343</v>
      </c>
      <c r="C68" s="237">
        <v>500</v>
      </c>
      <c r="D68" s="238"/>
      <c r="E68" s="238"/>
      <c r="F68" s="238"/>
      <c r="G68" s="238">
        <v>4500</v>
      </c>
      <c r="H68" s="238"/>
      <c r="I68" s="238"/>
      <c r="J68" s="238"/>
      <c r="K68" s="238"/>
      <c r="L68" s="238">
        <v>500</v>
      </c>
      <c r="M68" s="238"/>
      <c r="N68" s="238"/>
      <c r="O68" s="243">
        <f t="shared" si="6"/>
        <v>-4500</v>
      </c>
      <c r="R68" s="235">
        <f t="shared" si="7"/>
        <v>5</v>
      </c>
      <c r="S68" s="236" t="s">
        <v>1236</v>
      </c>
      <c r="T68" s="237"/>
      <c r="U68" s="238"/>
      <c r="V68" s="238">
        <v>0</v>
      </c>
      <c r="W68" s="238">
        <v>250</v>
      </c>
      <c r="X68" s="238">
        <v>200</v>
      </c>
      <c r="Y68" s="238">
        <v>100</v>
      </c>
      <c r="Z68" s="238">
        <v>50</v>
      </c>
      <c r="AA68" s="238">
        <v>80</v>
      </c>
      <c r="AB68" s="238">
        <v>15</v>
      </c>
      <c r="AC68" s="238">
        <v>20</v>
      </c>
      <c r="AD68" s="238"/>
      <c r="AE68" s="238">
        <v>500</v>
      </c>
      <c r="AF68" s="243">
        <f t="shared" si="8"/>
        <v>-1215</v>
      </c>
    </row>
    <row r="69" spans="1:32" s="67" customFormat="1" outlineLevel="1" x14ac:dyDescent="0.2">
      <c r="A69" s="235">
        <f t="shared" si="9"/>
        <v>6</v>
      </c>
      <c r="B69" s="236"/>
      <c r="C69" s="237"/>
      <c r="D69" s="238"/>
      <c r="E69" s="238"/>
      <c r="F69" s="238"/>
      <c r="G69" s="238"/>
      <c r="H69" s="238"/>
      <c r="I69" s="238"/>
      <c r="J69" s="238"/>
      <c r="K69" s="238"/>
      <c r="L69" s="238"/>
      <c r="M69" s="238"/>
      <c r="N69" s="238"/>
      <c r="O69" s="243">
        <f t="shared" si="6"/>
        <v>0</v>
      </c>
      <c r="R69" s="235">
        <f t="shared" si="7"/>
        <v>6</v>
      </c>
      <c r="S69" s="236"/>
      <c r="T69" s="237"/>
      <c r="U69" s="238"/>
      <c r="V69" s="238"/>
      <c r="W69" s="238"/>
      <c r="X69" s="238"/>
      <c r="Y69" s="238"/>
      <c r="Z69" s="238"/>
      <c r="AA69" s="238"/>
      <c r="AB69" s="238"/>
      <c r="AC69" s="238"/>
      <c r="AD69" s="238"/>
      <c r="AE69" s="238"/>
      <c r="AF69" s="243">
        <f t="shared" si="8"/>
        <v>0</v>
      </c>
    </row>
    <row r="70" spans="1:32" s="67" customFormat="1" outlineLevel="1" x14ac:dyDescent="0.2">
      <c r="A70" s="235">
        <f t="shared" si="9"/>
        <v>7</v>
      </c>
      <c r="B70" s="236"/>
      <c r="C70" s="237"/>
      <c r="D70" s="238"/>
      <c r="E70" s="238"/>
      <c r="F70" s="238"/>
      <c r="G70" s="238"/>
      <c r="H70" s="238"/>
      <c r="I70" s="238"/>
      <c r="J70" s="238"/>
      <c r="K70" s="238"/>
      <c r="L70" s="238"/>
      <c r="M70" s="238"/>
      <c r="N70" s="238"/>
      <c r="O70" s="243">
        <f t="shared" si="6"/>
        <v>0</v>
      </c>
      <c r="R70" s="235">
        <f t="shared" si="7"/>
        <v>7</v>
      </c>
      <c r="S70" s="236"/>
      <c r="T70" s="237"/>
      <c r="U70" s="238"/>
      <c r="V70" s="238"/>
      <c r="W70" s="238"/>
      <c r="X70" s="238"/>
      <c r="Y70" s="238"/>
      <c r="Z70" s="238"/>
      <c r="AA70" s="238"/>
      <c r="AB70" s="238"/>
      <c r="AC70" s="238"/>
      <c r="AD70" s="238"/>
      <c r="AE70" s="238"/>
      <c r="AF70" s="243">
        <f t="shared" si="8"/>
        <v>0</v>
      </c>
    </row>
    <row r="71" spans="1:32" s="67" customFormat="1" outlineLevel="1" x14ac:dyDescent="0.2">
      <c r="A71" s="235">
        <f t="shared" si="9"/>
        <v>8</v>
      </c>
      <c r="B71" s="236"/>
      <c r="C71" s="237"/>
      <c r="D71" s="238"/>
      <c r="E71" s="238"/>
      <c r="F71" s="238"/>
      <c r="G71" s="238"/>
      <c r="H71" s="238"/>
      <c r="I71" s="238"/>
      <c r="J71" s="238"/>
      <c r="K71" s="238"/>
      <c r="L71" s="238"/>
      <c r="M71" s="238"/>
      <c r="N71" s="238"/>
      <c r="O71" s="243">
        <f t="shared" si="6"/>
        <v>0</v>
      </c>
      <c r="R71" s="235">
        <f t="shared" si="7"/>
        <v>8</v>
      </c>
      <c r="S71" s="236"/>
      <c r="T71" s="237"/>
      <c r="U71" s="238"/>
      <c r="V71" s="238"/>
      <c r="W71" s="238"/>
      <c r="X71" s="238"/>
      <c r="Y71" s="238"/>
      <c r="Z71" s="238"/>
      <c r="AA71" s="238"/>
      <c r="AB71" s="238"/>
      <c r="AC71" s="238"/>
      <c r="AD71" s="238"/>
      <c r="AE71" s="238"/>
      <c r="AF71" s="243">
        <f t="shared" si="8"/>
        <v>0</v>
      </c>
    </row>
    <row r="72" spans="1:32" s="67" customFormat="1" outlineLevel="1" x14ac:dyDescent="0.2">
      <c r="A72" s="235">
        <f t="shared" si="9"/>
        <v>9</v>
      </c>
      <c r="B72" s="236"/>
      <c r="C72" s="237"/>
      <c r="D72" s="238"/>
      <c r="E72" s="238"/>
      <c r="F72" s="238"/>
      <c r="G72" s="238"/>
      <c r="H72" s="238"/>
      <c r="I72" s="238"/>
      <c r="J72" s="238"/>
      <c r="K72" s="238"/>
      <c r="L72" s="238"/>
      <c r="M72" s="238"/>
      <c r="N72" s="238"/>
      <c r="O72" s="243">
        <f t="shared" si="6"/>
        <v>0</v>
      </c>
      <c r="R72" s="235">
        <f t="shared" si="7"/>
        <v>9</v>
      </c>
      <c r="S72" s="236"/>
      <c r="T72" s="237"/>
      <c r="U72" s="238"/>
      <c r="V72" s="238"/>
      <c r="W72" s="238"/>
      <c r="X72" s="238"/>
      <c r="Y72" s="238"/>
      <c r="Z72" s="238"/>
      <c r="AA72" s="238"/>
      <c r="AB72" s="238"/>
      <c r="AC72" s="238"/>
      <c r="AD72" s="238"/>
      <c r="AE72" s="238"/>
      <c r="AF72" s="243">
        <f t="shared" si="8"/>
        <v>0</v>
      </c>
    </row>
    <row r="73" spans="1:32" s="67" customFormat="1" outlineLevel="1" x14ac:dyDescent="0.2">
      <c r="A73" s="235">
        <f t="shared" si="9"/>
        <v>10</v>
      </c>
      <c r="B73" s="236"/>
      <c r="C73" s="237"/>
      <c r="D73" s="238"/>
      <c r="E73" s="238"/>
      <c r="F73" s="238"/>
      <c r="G73" s="238"/>
      <c r="H73" s="238"/>
      <c r="I73" s="238"/>
      <c r="J73" s="238"/>
      <c r="K73" s="238"/>
      <c r="L73" s="238"/>
      <c r="M73" s="238"/>
      <c r="N73" s="238"/>
      <c r="O73" s="243">
        <f t="shared" si="6"/>
        <v>0</v>
      </c>
      <c r="R73" s="235">
        <f t="shared" si="7"/>
        <v>10</v>
      </c>
      <c r="S73" s="236"/>
      <c r="T73" s="237"/>
      <c r="U73" s="238"/>
      <c r="V73" s="238"/>
      <c r="W73" s="238"/>
      <c r="X73" s="238"/>
      <c r="Y73" s="238"/>
      <c r="Z73" s="238"/>
      <c r="AA73" s="238"/>
      <c r="AB73" s="238"/>
      <c r="AC73" s="238"/>
      <c r="AD73" s="238"/>
      <c r="AE73" s="238"/>
      <c r="AF73" s="243">
        <f t="shared" si="8"/>
        <v>0</v>
      </c>
    </row>
    <row r="74" spans="1:32" s="67" customFormat="1" outlineLevel="1" x14ac:dyDescent="0.2">
      <c r="A74" s="235">
        <f t="shared" si="9"/>
        <v>11</v>
      </c>
      <c r="B74" s="236"/>
      <c r="C74" s="237"/>
      <c r="D74" s="238"/>
      <c r="E74" s="238"/>
      <c r="F74" s="238"/>
      <c r="G74" s="238"/>
      <c r="H74" s="238"/>
      <c r="I74" s="238"/>
      <c r="J74" s="238"/>
      <c r="K74" s="238"/>
      <c r="L74" s="238"/>
      <c r="M74" s="238"/>
      <c r="N74" s="238"/>
      <c r="O74" s="243">
        <f t="shared" si="6"/>
        <v>0</v>
      </c>
      <c r="R74" s="235">
        <f t="shared" si="7"/>
        <v>11</v>
      </c>
      <c r="S74" s="236"/>
      <c r="T74" s="237"/>
      <c r="U74" s="238"/>
      <c r="V74" s="238"/>
      <c r="W74" s="238"/>
      <c r="X74" s="238"/>
      <c r="Y74" s="238"/>
      <c r="Z74" s="238"/>
      <c r="AA74" s="238"/>
      <c r="AB74" s="238"/>
      <c r="AC74" s="238"/>
      <c r="AD74" s="238"/>
      <c r="AE74" s="238"/>
      <c r="AF74" s="243">
        <f t="shared" si="8"/>
        <v>0</v>
      </c>
    </row>
    <row r="75" spans="1:32" s="67" customFormat="1" ht="16" outlineLevel="1" thickBot="1" x14ac:dyDescent="0.25">
      <c r="A75" s="235">
        <f t="shared" si="9"/>
        <v>12</v>
      </c>
      <c r="B75" s="240" t="s">
        <v>589</v>
      </c>
      <c r="C75" s="246">
        <v>0</v>
      </c>
      <c r="D75" s="247">
        <v>0</v>
      </c>
      <c r="E75" s="247">
        <v>500</v>
      </c>
      <c r="F75" s="247">
        <v>500</v>
      </c>
      <c r="G75" s="247">
        <v>300</v>
      </c>
      <c r="H75" s="247">
        <v>200</v>
      </c>
      <c r="I75" s="247">
        <v>340</v>
      </c>
      <c r="J75" s="247">
        <v>100</v>
      </c>
      <c r="K75" s="247">
        <v>500</v>
      </c>
      <c r="L75" s="247">
        <v>740</v>
      </c>
      <c r="M75" s="247">
        <v>200</v>
      </c>
      <c r="N75" s="242">
        <v>2640</v>
      </c>
      <c r="O75" s="243">
        <f t="shared" si="6"/>
        <v>-5520</v>
      </c>
      <c r="R75" s="235">
        <f t="shared" si="7"/>
        <v>12</v>
      </c>
      <c r="S75" s="240" t="s">
        <v>589</v>
      </c>
      <c r="T75" s="246">
        <v>0</v>
      </c>
      <c r="U75" s="247">
        <v>0</v>
      </c>
      <c r="V75" s="247">
        <v>500</v>
      </c>
      <c r="W75" s="247">
        <v>500</v>
      </c>
      <c r="X75" s="247">
        <v>300</v>
      </c>
      <c r="Y75" s="247">
        <v>200</v>
      </c>
      <c r="Z75" s="247">
        <v>100</v>
      </c>
      <c r="AA75" s="247">
        <v>100</v>
      </c>
      <c r="AB75" s="247">
        <v>500</v>
      </c>
      <c r="AC75" s="247">
        <v>500</v>
      </c>
      <c r="AD75" s="247">
        <v>200</v>
      </c>
      <c r="AE75" s="242">
        <v>500</v>
      </c>
      <c r="AF75" s="243">
        <f t="shared" si="8"/>
        <v>-2900</v>
      </c>
    </row>
    <row r="76" spans="1:32" ht="23.25" customHeight="1" thickBot="1" x14ac:dyDescent="0.25">
      <c r="A76" s="92"/>
      <c r="B76" s="93" t="s">
        <v>680</v>
      </c>
      <c r="C76" s="248">
        <f>SUBTOTAL(9,Tabelle51349[Teilnahmebeiträge Veranstaltungen])</f>
        <v>500</v>
      </c>
      <c r="D76" s="333">
        <f>SUBTOTAL(9,Tabelle51349[Sonstige Einnahmen])</f>
        <v>0</v>
      </c>
      <c r="E76" s="334">
        <f>SUBTOTAL(9,Tabelle51349[Aufwandsentschädigungen])</f>
        <v>500</v>
      </c>
      <c r="F76" s="334">
        <f>SUBTOTAL(9,Tabelle51349[Interne Reisekosten])</f>
        <v>500</v>
      </c>
      <c r="G76" s="334">
        <f>SUBTOTAL(9,Tabelle51349[Raum + Unterkunft intern])</f>
        <v>4800</v>
      </c>
      <c r="H76" s="334">
        <f>SUBTOTAL(9,Tabelle51349[Repräsentation/Bewirtung intern])</f>
        <v>200</v>
      </c>
      <c r="I76" s="334">
        <f>SUBTOTAL(9,Tabelle51349[Repräsentation/Bewirtung extern])</f>
        <v>340</v>
      </c>
      <c r="J76" s="334">
        <f>SUBTOTAL(9,Tabelle51349[Raum + Unterkunft extern])</f>
        <v>100</v>
      </c>
      <c r="K76" s="334">
        <f>SUBTOTAL(9,Tabelle51349[Druckkosten])</f>
        <v>500</v>
      </c>
      <c r="L76" s="334">
        <f>SUBTOTAL(9,Tabelle51349[Sonstige Kosten])</f>
        <v>1400</v>
      </c>
      <c r="M76" s="334">
        <f>SUBTOTAL(9,Tabelle51349[Rechtsangelegenheiten])</f>
        <v>200</v>
      </c>
      <c r="N76" s="334">
        <f>SUBTOTAL(109,Tabelle51349[Andere Honorare])</f>
        <v>2640</v>
      </c>
      <c r="O76" s="617">
        <f>SUBTOTAL(9,Tabelle51349[Gesamt])</f>
        <v>-10180</v>
      </c>
      <c r="R76" s="92"/>
      <c r="S76" s="93" t="s">
        <v>680</v>
      </c>
      <c r="T76" s="248">
        <f>SUBTOTAL(9,Tabelle513[Teilnahmebeiträge Veranstaltungen])</f>
        <v>1500</v>
      </c>
      <c r="U76" s="333">
        <f>SUBTOTAL(9,Tabelle513[Sonstige Einnahmen])</f>
        <v>0</v>
      </c>
      <c r="V76" s="334">
        <f>SUBTOTAL(9,Tabelle513[Aufwandsentschädigungen])</f>
        <v>750</v>
      </c>
      <c r="W76" s="334">
        <f>SUBTOTAL(9,Tabelle513[Interne Reisekosten])</f>
        <v>750</v>
      </c>
      <c r="X76" s="334">
        <f>SUBTOTAL(9,Tabelle513[Raum + Unterkunft intern])</f>
        <v>500</v>
      </c>
      <c r="Y76" s="334">
        <f>SUBTOTAL(9,Tabelle513[Repräsentation/Bewirtung intern])</f>
        <v>300</v>
      </c>
      <c r="Z76" s="334">
        <f>SUBTOTAL(9,Tabelle513[Repräsentation/Bewirtung extern])</f>
        <v>190</v>
      </c>
      <c r="AA76" s="334">
        <f>SUBTOTAL(9,Tabelle513[Raum + Unterkunft extern])</f>
        <v>180</v>
      </c>
      <c r="AB76" s="334">
        <f>SUBTOTAL(9,Tabelle513[Druckkosten])</f>
        <v>515</v>
      </c>
      <c r="AC76" s="334">
        <f>SUBTOTAL(9,Tabelle513[Sonstige Kosten])</f>
        <v>1880</v>
      </c>
      <c r="AD76" s="334">
        <f>SUBTOTAL(9,Tabelle513[Rechtsangelegenheiten])</f>
        <v>200</v>
      </c>
      <c r="AE76" s="334">
        <f>SUBTOTAL(109,Tabelle513[Andere Honorare])</f>
        <v>2640</v>
      </c>
      <c r="AF76" s="617">
        <f>SUBTOTAL(9,Tabelle513[Gesamt])</f>
        <v>-5655</v>
      </c>
    </row>
    <row r="77" spans="1:32" ht="19" x14ac:dyDescent="0.25">
      <c r="A77" s="11"/>
      <c r="R77" s="11"/>
    </row>
    <row r="78" spans="1:32" ht="16" x14ac:dyDescent="0.2">
      <c r="A78" s="7"/>
      <c r="B78" s="7" t="s">
        <v>739</v>
      </c>
      <c r="D78" s="6" t="s">
        <v>723</v>
      </c>
      <c r="R78" s="7"/>
      <c r="S78" s="7" t="s">
        <v>739</v>
      </c>
      <c r="U78" s="6" t="s">
        <v>723</v>
      </c>
    </row>
    <row r="79" spans="1:32" ht="20" thickBot="1" x14ac:dyDescent="0.3">
      <c r="A79" s="11"/>
      <c r="R79" s="11"/>
    </row>
    <row r="80" spans="1:32" ht="17" thickTop="1" thickBot="1" x14ac:dyDescent="0.25">
      <c r="A80" s="94"/>
      <c r="B80" s="120"/>
      <c r="C80" s="121"/>
      <c r="D80" s="124" t="s">
        <v>639</v>
      </c>
      <c r="E80" s="95" t="s">
        <v>136</v>
      </c>
      <c r="F80" s="96" t="s">
        <v>244</v>
      </c>
      <c r="G80" s="96" t="s">
        <v>268</v>
      </c>
      <c r="H80" s="96" t="s">
        <v>294</v>
      </c>
      <c r="I80" s="97"/>
      <c r="R80" s="94"/>
      <c r="S80" s="120"/>
      <c r="T80" s="121"/>
      <c r="U80" s="124" t="s">
        <v>639</v>
      </c>
      <c r="V80" s="95" t="s">
        <v>136</v>
      </c>
      <c r="W80" s="96" t="s">
        <v>244</v>
      </c>
      <c r="X80" s="96" t="s">
        <v>268</v>
      </c>
      <c r="Y80" s="96" t="s">
        <v>294</v>
      </c>
      <c r="Z80" s="97"/>
    </row>
    <row r="81" spans="1:26" ht="46" thickBot="1" x14ac:dyDescent="0.25">
      <c r="A81" s="98" t="s">
        <v>740</v>
      </c>
      <c r="B81" s="98" t="s">
        <v>741</v>
      </c>
      <c r="C81" s="123" t="s">
        <v>742</v>
      </c>
      <c r="D81" s="98" t="s">
        <v>543</v>
      </c>
      <c r="E81" s="322" t="s">
        <v>732</v>
      </c>
      <c r="F81" s="323" t="s">
        <v>627</v>
      </c>
      <c r="G81" s="323" t="s">
        <v>733</v>
      </c>
      <c r="H81" s="323" t="s">
        <v>734</v>
      </c>
      <c r="I81" s="324" t="s">
        <v>590</v>
      </c>
      <c r="R81" s="98" t="s">
        <v>740</v>
      </c>
      <c r="S81" s="98" t="s">
        <v>741</v>
      </c>
      <c r="T81" s="123" t="s">
        <v>742</v>
      </c>
      <c r="U81" s="98" t="s">
        <v>543</v>
      </c>
      <c r="V81" s="322" t="s">
        <v>732</v>
      </c>
      <c r="W81" s="323" t="s">
        <v>627</v>
      </c>
      <c r="X81" s="323" t="s">
        <v>733</v>
      </c>
      <c r="Y81" s="323" t="s">
        <v>734</v>
      </c>
      <c r="Z81" s="324" t="s">
        <v>590</v>
      </c>
    </row>
    <row r="82" spans="1:26" s="67" customFormat="1" ht="131.25" customHeight="1" outlineLevel="1" x14ac:dyDescent="0.2">
      <c r="A82" s="239" t="e">
        <f>ROW(#REF!)</f>
        <v>#REF!</v>
      </c>
      <c r="B82" s="272" t="s">
        <v>1230</v>
      </c>
      <c r="C82" s="84"/>
      <c r="D82" s="84"/>
      <c r="E82" s="330"/>
      <c r="F82" s="264"/>
      <c r="G82" s="264"/>
      <c r="H82" s="264"/>
      <c r="I82" s="259"/>
      <c r="R82" s="239">
        <f t="shared" ref="R82:R92" si="10">ROW(A1)</f>
        <v>1</v>
      </c>
      <c r="S82" s="272" t="s">
        <v>1230</v>
      </c>
      <c r="T82" s="84"/>
      <c r="U82" s="84"/>
      <c r="V82" s="330"/>
      <c r="W82" s="264"/>
      <c r="X82" s="264"/>
      <c r="Y82" s="264"/>
      <c r="Z82" s="259">
        <f>SUM(V82:Y82)</f>
        <v>0</v>
      </c>
    </row>
    <row r="83" spans="1:26" s="67" customFormat="1" ht="30" outlineLevel="1" x14ac:dyDescent="0.2">
      <c r="A83" s="239" t="e">
        <f>ROW(#REF!)</f>
        <v>#REF!</v>
      </c>
      <c r="B83" s="604"/>
      <c r="C83" s="84"/>
      <c r="D83" s="84"/>
      <c r="E83" s="110"/>
      <c r="F83" s="111"/>
      <c r="G83" s="111"/>
      <c r="H83" s="111"/>
      <c r="I83" s="243"/>
      <c r="R83" s="239">
        <f t="shared" si="10"/>
        <v>2</v>
      </c>
      <c r="S83" s="604" t="s">
        <v>1231</v>
      </c>
      <c r="T83" s="84"/>
      <c r="U83" s="84" t="s">
        <v>754</v>
      </c>
      <c r="V83" s="110">
        <v>800</v>
      </c>
      <c r="W83" s="111">
        <v>0</v>
      </c>
      <c r="X83" s="111">
        <v>0</v>
      </c>
      <c r="Y83" s="111">
        <v>0</v>
      </c>
      <c r="Z83" s="243">
        <f t="shared" ref="Z83:Z90" si="11">SUM(V83:Y83)</f>
        <v>800</v>
      </c>
    </row>
    <row r="84" spans="1:26" s="67" customFormat="1" ht="30" outlineLevel="1" x14ac:dyDescent="0.2">
      <c r="A84" s="239" t="e">
        <f>ROW(#REF!)</f>
        <v>#REF!</v>
      </c>
      <c r="B84" s="604"/>
      <c r="C84" s="84"/>
      <c r="D84" s="84"/>
      <c r="E84" s="110"/>
      <c r="F84" s="111"/>
      <c r="G84" s="111"/>
      <c r="H84" s="111"/>
      <c r="I84" s="243"/>
      <c r="R84" s="239">
        <f t="shared" si="10"/>
        <v>3</v>
      </c>
      <c r="S84" s="604" t="s">
        <v>1232</v>
      </c>
      <c r="T84" s="84" t="s">
        <v>744</v>
      </c>
      <c r="U84" s="84" t="s">
        <v>748</v>
      </c>
      <c r="V84" s="110">
        <v>1800</v>
      </c>
      <c r="W84" s="111">
        <v>1000</v>
      </c>
      <c r="X84" s="111">
        <v>800</v>
      </c>
      <c r="Y84" s="111">
        <v>100</v>
      </c>
      <c r="Z84" s="243">
        <f t="shared" si="11"/>
        <v>3700</v>
      </c>
    </row>
    <row r="85" spans="1:26" s="67" customFormat="1" ht="105" outlineLevel="1" x14ac:dyDescent="0.2">
      <c r="A85" s="239" t="e">
        <f>ROW(#REF!)</f>
        <v>#REF!</v>
      </c>
      <c r="B85" s="604"/>
      <c r="C85" s="84"/>
      <c r="D85" s="84"/>
      <c r="E85" s="110"/>
      <c r="F85" s="111"/>
      <c r="G85" s="111"/>
      <c r="H85" s="111"/>
      <c r="I85" s="243"/>
      <c r="R85" s="239">
        <f t="shared" si="10"/>
        <v>4</v>
      </c>
      <c r="S85" s="604" t="s">
        <v>1233</v>
      </c>
      <c r="T85" s="84"/>
      <c r="U85" s="84" t="s">
        <v>754</v>
      </c>
      <c r="V85" s="110">
        <v>400</v>
      </c>
      <c r="W85" s="111">
        <v>0</v>
      </c>
      <c r="X85" s="111">
        <v>0</v>
      </c>
      <c r="Y85" s="111">
        <v>0</v>
      </c>
      <c r="Z85" s="243">
        <f t="shared" si="11"/>
        <v>400</v>
      </c>
    </row>
    <row r="86" spans="1:26" s="67" customFormat="1" ht="30" outlineLevel="1" x14ac:dyDescent="0.2">
      <c r="A86" s="239" t="e">
        <f>ROW(#REF!)</f>
        <v>#REF!</v>
      </c>
      <c r="B86" s="604"/>
      <c r="C86" s="84"/>
      <c r="D86" s="84"/>
      <c r="E86" s="110"/>
      <c r="F86" s="111"/>
      <c r="G86" s="111"/>
      <c r="H86" s="111"/>
      <c r="I86" s="243"/>
      <c r="R86" s="239">
        <f t="shared" si="10"/>
        <v>5</v>
      </c>
      <c r="S86" s="604" t="s">
        <v>755</v>
      </c>
      <c r="T86" s="84"/>
      <c r="U86" s="84" t="s">
        <v>748</v>
      </c>
      <c r="V86" s="110">
        <v>150</v>
      </c>
      <c r="W86" s="111">
        <v>300</v>
      </c>
      <c r="X86" s="111">
        <v>200</v>
      </c>
      <c r="Y86" s="111">
        <v>200</v>
      </c>
      <c r="Z86" s="243">
        <f t="shared" si="11"/>
        <v>850</v>
      </c>
    </row>
    <row r="87" spans="1:26" s="67" customFormat="1" ht="30" outlineLevel="1" x14ac:dyDescent="0.2">
      <c r="A87" s="239" t="e">
        <f>ROW(#REF!)</f>
        <v>#REF!</v>
      </c>
      <c r="B87" s="604"/>
      <c r="C87" s="84"/>
      <c r="D87" s="84"/>
      <c r="E87" s="110"/>
      <c r="F87" s="111"/>
      <c r="G87" s="111"/>
      <c r="H87" s="111"/>
      <c r="I87" s="243"/>
      <c r="R87" s="239">
        <f t="shared" si="10"/>
        <v>6</v>
      </c>
      <c r="S87" s="604" t="s">
        <v>756</v>
      </c>
      <c r="T87" s="84"/>
      <c r="U87" s="84" t="s">
        <v>748</v>
      </c>
      <c r="V87" s="110">
        <v>150</v>
      </c>
      <c r="W87" s="111">
        <v>300</v>
      </c>
      <c r="X87" s="111">
        <v>200</v>
      </c>
      <c r="Y87" s="111">
        <v>200</v>
      </c>
      <c r="Z87" s="243">
        <f t="shared" si="11"/>
        <v>850</v>
      </c>
    </row>
    <row r="88" spans="1:26" s="67" customFormat="1" ht="120" outlineLevel="1" x14ac:dyDescent="0.2">
      <c r="A88" s="239" t="e">
        <f>ROW(#REF!)</f>
        <v>#REF!</v>
      </c>
      <c r="B88" s="604"/>
      <c r="C88" s="84"/>
      <c r="D88" s="84"/>
      <c r="E88" s="110"/>
      <c r="F88" s="111"/>
      <c r="G88" s="111"/>
      <c r="H88" s="111"/>
      <c r="I88" s="243"/>
      <c r="R88" s="239">
        <f t="shared" si="10"/>
        <v>7</v>
      </c>
      <c r="S88" s="604" t="s">
        <v>1234</v>
      </c>
      <c r="T88" s="84" t="s">
        <v>744</v>
      </c>
      <c r="U88" s="84" t="s">
        <v>748</v>
      </c>
      <c r="V88" s="110">
        <v>320</v>
      </c>
      <c r="W88" s="111">
        <v>320</v>
      </c>
      <c r="X88" s="111">
        <v>250</v>
      </c>
      <c r="Y88" s="111">
        <v>50</v>
      </c>
      <c r="Z88" s="243">
        <f t="shared" si="11"/>
        <v>940</v>
      </c>
    </row>
    <row r="89" spans="1:26" s="67" customFormat="1" ht="165" outlineLevel="1" x14ac:dyDescent="0.2">
      <c r="A89" s="239" t="e">
        <f>ROW(#REF!)</f>
        <v>#REF!</v>
      </c>
      <c r="B89" s="604"/>
      <c r="C89" s="84"/>
      <c r="D89" s="84"/>
      <c r="E89" s="110"/>
      <c r="F89" s="111"/>
      <c r="G89" s="111"/>
      <c r="H89" s="111"/>
      <c r="I89" s="243"/>
      <c r="R89" s="239">
        <f t="shared" si="10"/>
        <v>8</v>
      </c>
      <c r="S89" s="604" t="s">
        <v>1235</v>
      </c>
      <c r="T89" s="84" t="s">
        <v>744</v>
      </c>
      <c r="U89" s="84" t="s">
        <v>748</v>
      </c>
      <c r="V89" s="110">
        <v>400</v>
      </c>
      <c r="W89" s="111">
        <v>400</v>
      </c>
      <c r="X89" s="111">
        <v>520</v>
      </c>
      <c r="Y89" s="111">
        <v>250</v>
      </c>
      <c r="Z89" s="243">
        <f t="shared" si="11"/>
        <v>1570</v>
      </c>
    </row>
    <row r="90" spans="1:26" s="67" customFormat="1" outlineLevel="1" x14ac:dyDescent="0.2">
      <c r="A90" s="239" t="e">
        <f>ROW(#REF!)</f>
        <v>#REF!</v>
      </c>
      <c r="B90" s="239"/>
      <c r="C90" s="239"/>
      <c r="D90" s="239"/>
      <c r="E90" s="237"/>
      <c r="F90" s="238"/>
      <c r="G90" s="238"/>
      <c r="H90" s="238"/>
      <c r="I90" s="243"/>
      <c r="R90" s="239">
        <f t="shared" si="10"/>
        <v>9</v>
      </c>
      <c r="S90" s="239"/>
      <c r="T90" s="239"/>
      <c r="U90" s="239"/>
      <c r="V90" s="237"/>
      <c r="W90" s="238"/>
      <c r="X90" s="238"/>
      <c r="Y90" s="238"/>
      <c r="Z90" s="243">
        <f t="shared" si="11"/>
        <v>0</v>
      </c>
    </row>
    <row r="91" spans="1:26" outlineLevel="1" x14ac:dyDescent="0.2">
      <c r="A91" s="84" t="e">
        <f>ROW(#REF!)</f>
        <v>#REF!</v>
      </c>
      <c r="B91" s="99" t="s">
        <v>749</v>
      </c>
      <c r="C91" s="99"/>
      <c r="D91" s="99"/>
      <c r="E91" s="114">
        <f>Tabelle51349[[#Totals],[Aufwandsentschädigungen]]</f>
        <v>500</v>
      </c>
      <c r="F91" s="115">
        <f>Tabelle51349[[#Totals],[Interne Reisekosten]]</f>
        <v>500</v>
      </c>
      <c r="G91" s="115">
        <f>Tabelle51349[[#Totals],[Raum + Unterkunft intern]]</f>
        <v>4800</v>
      </c>
      <c r="H91" s="115">
        <f>Tabelle51349[[#Totals],[Repräsentation/Bewirtung intern]]</f>
        <v>200</v>
      </c>
      <c r="I91" s="244">
        <f t="shared" ref="I91" si="12">SUM(E91:H91)</f>
        <v>6000</v>
      </c>
      <c r="R91" s="84">
        <f t="shared" si="10"/>
        <v>10</v>
      </c>
      <c r="S91" s="99" t="s">
        <v>749</v>
      </c>
      <c r="T91" s="99"/>
      <c r="U91" s="99"/>
      <c r="V91" s="114">
        <f>Tabelle513[[#Totals],[Aufwandsentschädigungen]]</f>
        <v>750</v>
      </c>
      <c r="W91" s="115">
        <f>Tabelle513[[#Totals],[Interne Reisekosten]]</f>
        <v>750</v>
      </c>
      <c r="X91" s="115">
        <f>Tabelle513[[#Totals],[Raum + Unterkunft intern]]</f>
        <v>500</v>
      </c>
      <c r="Y91" s="115">
        <f>Tabelle513[[#Totals],[Repräsentation/Bewirtung intern]]</f>
        <v>300</v>
      </c>
      <c r="Z91" s="244">
        <f t="shared" ref="Z91" si="13">SUM(V91:Y91)</f>
        <v>2300</v>
      </c>
    </row>
    <row r="92" spans="1:26" s="67" customFormat="1" ht="15.75" customHeight="1" outlineLevel="1" thickBot="1" x14ac:dyDescent="0.25">
      <c r="A92" s="239" t="e">
        <f>ROW(#REF!)</f>
        <v>#REF!</v>
      </c>
      <c r="B92" s="240" t="s">
        <v>589</v>
      </c>
      <c r="C92" s="240"/>
      <c r="D92" s="240" t="s">
        <v>750</v>
      </c>
      <c r="E92" s="241"/>
      <c r="F92" s="242"/>
      <c r="G92" s="242"/>
      <c r="H92" s="242"/>
      <c r="I92" s="245"/>
      <c r="R92" s="239">
        <f t="shared" si="10"/>
        <v>11</v>
      </c>
      <c r="S92" s="240" t="s">
        <v>589</v>
      </c>
      <c r="T92" s="240"/>
      <c r="U92" s="240" t="s">
        <v>750</v>
      </c>
      <c r="V92" s="241">
        <v>500</v>
      </c>
      <c r="W92" s="242">
        <v>500</v>
      </c>
      <c r="X92" s="242">
        <v>200</v>
      </c>
      <c r="Y92" s="242">
        <v>100</v>
      </c>
      <c r="Z92" s="245">
        <f>SUM(V92:Y92)</f>
        <v>1300</v>
      </c>
    </row>
    <row r="93" spans="1:26" ht="23.25" customHeight="1" thickBot="1" x14ac:dyDescent="0.25">
      <c r="A93" s="84"/>
      <c r="B93" s="84"/>
      <c r="C93" s="84"/>
      <c r="D93" s="93" t="s">
        <v>680</v>
      </c>
      <c r="E93" s="250">
        <f>SUBTOTAL(9,Tabelle61550[Aufwandsentschädigungen])</f>
        <v>500</v>
      </c>
      <c r="F93" s="334">
        <f>SUBTOTAL(9,Tabelle61550[Interne Reisekosten])</f>
        <v>500</v>
      </c>
      <c r="G93" s="334">
        <f>SUBTOTAL(9,Tabelle61550[Raum + Unterkunft intern])</f>
        <v>4800</v>
      </c>
      <c r="H93" s="334">
        <f>SUBTOTAL(9,Tabelle61550[Repräsentation/Bewirtung intern])</f>
        <v>200</v>
      </c>
      <c r="I93" s="618">
        <f>SUBTOTAL(9,Tabelle61550[Gesamt])</f>
        <v>6000</v>
      </c>
      <c r="R93" s="84"/>
      <c r="S93" s="84"/>
      <c r="T93" s="84"/>
      <c r="U93" s="93" t="s">
        <v>680</v>
      </c>
      <c r="V93" s="250">
        <f>SUBTOTAL(9,Tabelle615[Aufwandsentschädigungen])</f>
        <v>5270</v>
      </c>
      <c r="W93" s="334">
        <f>SUBTOTAL(9,Tabelle615[Interne Reisekosten])</f>
        <v>3570</v>
      </c>
      <c r="X93" s="334">
        <f>SUBTOTAL(9,Tabelle615[Raum + Unterkunft intern])</f>
        <v>2670</v>
      </c>
      <c r="Y93" s="334">
        <f>SUBTOTAL(9,Tabelle615[Repräsentation/Bewirtung intern])</f>
        <v>1200</v>
      </c>
      <c r="Z93" s="618">
        <f>SUBTOTAL(9,Tabelle615[Gesamt])</f>
        <v>12710</v>
      </c>
    </row>
  </sheetData>
  <sheetProtection insertRows="0" insertHyperlinks="0" selectLockedCells="1" sort="0" autoFilter="0" pivotTables="0"/>
  <hyperlinks>
    <hyperlink ref="T58" location="KSW!F5" display="KSW!F5" xr:uid="{C5FCF5E8-4999-419A-B675-DFEFC78A5AE7}"/>
    <hyperlink ref="U58" location="KSW!F6" display="KSW!F6" xr:uid="{45A0AEFD-88A2-43F8-AE2B-B00002C8BBC7}"/>
    <hyperlink ref="V58" location="KSW!F7" display="KSW!F7" xr:uid="{ACD40FA5-BE2D-4535-99FA-6C77C6C54EBB}"/>
    <hyperlink ref="T76" location="KSW!F6" display="KSW!F6" xr:uid="{808740F1-AF12-490B-A001-2C93E09752C5}"/>
    <hyperlink ref="U76" location="KSW!F7" display="KSW!F7" xr:uid="{9B7D7262-5681-4630-B124-7B41185604F8}"/>
    <hyperlink ref="V76" location="KSW!F11" display="KSW!F11" xr:uid="{9DA8B30E-AB57-4812-95A5-E6618113F262}"/>
    <hyperlink ref="V93" location="KSW!F11" display="KSW!F11" xr:uid="{E68ED4C6-5369-49D4-B203-C4C682412C34}"/>
    <hyperlink ref="W76" location="KSW!F12" display="KSW!F12" xr:uid="{3EC04A15-10E2-44DB-A5F2-F8099E585829}"/>
    <hyperlink ref="W93" location="KSW!F12" display="KSW!F12" xr:uid="{7A9CB4E2-DDCB-44EF-8862-B2CDAC8A419F}"/>
    <hyperlink ref="X76" location="KSW!F13" display="KSW!F13" xr:uid="{BF7C89DB-81B0-44E4-98D0-D783523C8CDA}"/>
    <hyperlink ref="X93" location="KSW!F13" display="KSW!F13" xr:uid="{1E6BF7A1-35EC-4563-8ACB-1D9F82581A63}"/>
    <hyperlink ref="Y76" location="KSW!F14" display="KSW!F14" xr:uid="{D0BB1B10-EB67-4B99-8744-EAC4641DD35E}"/>
    <hyperlink ref="Y93" location="KSW!F14" display="KSW!F14" xr:uid="{1C2E9373-18E9-41DF-8FBB-C6441EF3CE54}"/>
    <hyperlink ref="W58" location="KSW!F15" display="KSW!F15" xr:uid="{8F6D77E4-0DF2-4F7A-813D-2BDAEF88C54B}"/>
    <hyperlink ref="X58" location="KSW!F16" display="KSW!F16" xr:uid="{C7938C45-D233-42DC-80F1-582501B8296F}"/>
    <hyperlink ref="Z76" location="KSW!F18" display="KSW!F18" xr:uid="{C416B276-879E-44E8-B861-177D909BA7C2}"/>
    <hyperlink ref="AA76" location="KSW!F19" display="KSW!F19" xr:uid="{A01FF3DD-D75F-427E-B510-82A2C0C8B54C}"/>
    <hyperlink ref="AB76" location="KSW!F20" display="KSW!F20" xr:uid="{BBBF18A5-0363-416E-8C83-60021A8B6B0A}"/>
    <hyperlink ref="Y58" location="KSW!F17" display="KSW!F17" xr:uid="{4ACC1D48-3F27-4B95-B97D-233BD2D8C7F2}"/>
    <hyperlink ref="Z58" location="KSW!F18" display="KSW!F18" xr:uid="{D7FADCE7-E674-4EFB-A4F8-F31ECD015B07}"/>
    <hyperlink ref="AA58" location="KSW!F19" display="KSW!F19" xr:uid="{95504FD5-AEFB-46B8-AC40-5F80D39C597E}"/>
    <hyperlink ref="AB58" location="KSW!F20" display="KSW!F20" xr:uid="{57C33184-FBD0-41BC-8E4D-4F9683770F9B}"/>
    <hyperlink ref="AC76" location="KSW!F21" display="KSW!F21" xr:uid="{DBF0EF08-4B4E-4F30-A1F0-BDD64BE09076}"/>
    <hyperlink ref="AD76" location="KSW!F22" display="KSW!F22" xr:uid="{5DA97C20-97AB-46E6-96D7-2F4EB8D4E720}"/>
    <hyperlink ref="B11" location="KSW_AE_var" display="AE variabel" xr:uid="{7B5F19D6-F025-4516-99F8-600826FD68A9}"/>
    <hyperlink ref="B12" location="KSW_RK_Int." display="Fahrtkosten und Verpflegungspauschalen" xr:uid="{3330549F-57E2-48B3-8B5B-067AA546BA1D}"/>
    <hyperlink ref="B13" location="KSW_R_U_Int." display="Raum- und Unterkunftskosten" xr:uid="{0C46BFBC-1AB6-4067-B948-27B53FE1ED25}"/>
    <hyperlink ref="B14" location="KSW_Bew.Int." display="Bewirtung und Repräsentation intern" xr:uid="{58B7B1F4-8C99-45B6-8AA9-E5521CE6A3DA}"/>
    <hyperlink ref="B15" location="KSW_Hon_I" display="Honorare Fachseminare" xr:uid="{15F8B3ED-3E4D-4AA0-98EE-6E67D4E85E16}"/>
    <hyperlink ref="B16" location="KSW_Hon_II" display="Andere Honorare" xr:uid="{89234720-3753-453A-BB24-242A64BD449F}"/>
    <hyperlink ref="B17" location="KSW_Ext.RK" display="Ext. Reisekosten" xr:uid="{EB3AA07B-0609-4191-B031-9CE62CF0E4A2}"/>
    <hyperlink ref="B18" location="KSW_Bew.Ext." display="Bewirtung und Repräsentation extern" xr:uid="{01367D75-13E3-4587-9841-40EACFF56FAF}"/>
    <hyperlink ref="B19" location="KSW_R_U_Ext." display="Raum- und Unterkunftskosten Seminare und Veranst." xr:uid="{D82B0FF1-6363-461D-A838-0E3C7FF59441}"/>
    <hyperlink ref="B20" location="KSW_Druck" display="Druckkosten" xr:uid="{5C1C16A6-0D9E-4E5D-ACD7-62D3AECDF94D}"/>
    <hyperlink ref="B21" location="KSW_Sonst." display="Sonstige Kosten (Lizenzen, Allg. Geschäftsbetrieb)" xr:uid="{27F4CE8F-1835-40D6-BECA-9373B114801A}"/>
    <hyperlink ref="B22" location="Rechtsk.FSen" display="Rechtsangelegenheiten" xr:uid="{17F062DF-26E5-4A4A-BE1F-2AE24E4C6E35}"/>
    <hyperlink ref="B7" location="KSW_Sonst_Einnahmen" display="Sonstige Einnahmen (Vorauszahlungen Bewirtung, Werbung, …)" xr:uid="{CF9C55A4-ACCE-43C1-9EAB-4C22A3FACEDB}"/>
    <hyperlink ref="B6" location="KSW_TN_Beiträge_II" display="Teilnahmebeiträge Veranstaltungen" xr:uid="{A91B3B8B-2CDA-4649-8EAC-BD0C1D3991E7}"/>
    <hyperlink ref="B5" location="KSW_TN_Beiträge_I" display="Teilnahmebeiträge Seminare" xr:uid="{D0D51716-AF1B-4392-8CE2-1E62B53A9068}"/>
    <hyperlink ref="H11" location="AEFKKSW_413.21" display="AEFKKSW_413.21" xr:uid="{3B0039C9-CA31-427A-8687-4327D967CF30}"/>
    <hyperlink ref="H12" location="AEFKKSW_527.40" display="AEFKKSW_527.40" xr:uid="{5260396A-2F1E-4E28-94D8-68FC864D9B78}"/>
    <hyperlink ref="H13" location="AEFKKSW_529.40" display="AEFKKSW_529.40" xr:uid="{FC0C6DE1-6AF1-44BF-A31F-4B1BEC475B0F}"/>
    <hyperlink ref="H14" location="AEFKKSW_531.40" display="AEFKKSW_531.40" xr:uid="{81672886-F617-4C7E-A2E4-82D4F45B21D7}"/>
    <hyperlink ref="H15" location="SemKSW_551.10" display="SemKSW_551.10" xr:uid="{A274F699-457E-46FB-96A0-3B68C3636884}"/>
    <hyperlink ref="H17" location="SemKSW_551.30" display="SemKSW_551.30" xr:uid="{889623CE-BB04-4516-B9B2-1F4C9872E24D}"/>
    <hyperlink ref="H18" location="SemKSW_551.40" display="SemKSW_551.40" xr:uid="{5E21CF65-E8BD-45C5-9A4F-BB3151E1E2B5}"/>
    <hyperlink ref="H19" location="SemKSW_551.50" display="SemKSW_551.50" xr:uid="{476353C8-4DF0-4093-81F9-7433F367B752}"/>
    <hyperlink ref="H20" location="SemKSW_551.60" display="SemKSW_551.60" xr:uid="{392BFFAB-72D7-4A0B-904B-9787030AAC5F}"/>
    <hyperlink ref="H21" location="MaßnKSW_551.70" display="MaßnKSW_551.70" xr:uid="{0A0BBEE6-FEB6-4319-B346-5D723DB84430}"/>
    <hyperlink ref="H22" location="MaßnKSW_560.70" display="MaßnKSW_560.70" xr:uid="{170F7104-3865-4F25-91B7-E509B79F8A05}"/>
    <hyperlink ref="H5" location="SemKSW_210.10" display="SemKSW_210.10" xr:uid="{F3074743-2B94-4E5C-81AA-4EBDFF30911D}"/>
    <hyperlink ref="H6" location="MaßnKSW_220.10" display="MaßnKSW_220.10" xr:uid="{A7108735-2640-4258-907E-3B70BC335B96}"/>
    <hyperlink ref="H7" location="MaßnKSW_230.10" display="MaßnKSW_230.10" xr:uid="{B9E09F1A-4566-4384-BFB0-7B397FB474E4}"/>
    <hyperlink ref="C58" location="KSW!F5" display="KSW!F5" xr:uid="{DFCA27B3-49EA-4371-ABDC-CC27925046D0}"/>
    <hyperlink ref="D58" location="KSW!F6" display="KSW!F6" xr:uid="{45A6B95A-1AEE-4D02-B833-254DEAD6F7C2}"/>
    <hyperlink ref="E58" location="KSW!F7" display="KSW!F7" xr:uid="{2FA5EBE1-5357-4186-8421-7814348FA127}"/>
    <hyperlink ref="C76" location="KSW!F6" display="KSW!F6" xr:uid="{7C29D454-4ECB-4020-BFA3-52731D355FFA}"/>
    <hyperlink ref="D76" location="KSW!F7" display="KSW!F7" xr:uid="{F5A877F8-8924-475D-B5BD-C6417EF376F1}"/>
    <hyperlink ref="E76" location="KSW!F11" display="KSW!F11" xr:uid="{6940F835-B40C-44D3-A5BE-F3CACA815449}"/>
    <hyperlink ref="E93" location="KSW!F11" display="KSW!F11" xr:uid="{819BE0D3-E56E-44FF-B49C-84EDFBCEE42F}"/>
    <hyperlink ref="F76" location="KSW!F12" display="KSW!F12" xr:uid="{A5A38EB1-F97E-40B0-8D52-77ADB3B320C6}"/>
    <hyperlink ref="F93" location="KSW!F12" display="KSW!F12" xr:uid="{2A7F6A38-87BD-41C4-AFEC-210FC02C0F79}"/>
    <hyperlink ref="G76" location="KSW!F13" display="KSW!F13" xr:uid="{D713B99E-C155-4DA1-97FB-EF6530A2DD46}"/>
    <hyperlink ref="G93" location="KSW!F13" display="KSW!F13" xr:uid="{5258B719-AEBF-4A2A-8B6E-A67C4861D4C6}"/>
    <hyperlink ref="H76" location="KSW!F14" display="KSW!F14" xr:uid="{3C27292F-4353-4BCC-8A7C-7C50D928F4C6}"/>
    <hyperlink ref="H93" location="KSW!F14" display="KSW!F14" xr:uid="{5B00B164-BB75-426A-9C6D-19490CB7E9DF}"/>
    <hyperlink ref="F58" location="KSW!F15" display="KSW!F15" xr:uid="{0F4EA9E9-F329-4497-956F-1252EAF5DD70}"/>
    <hyperlink ref="G58" location="KSW!F16" display="KSW!F16" xr:uid="{40B7E5B3-D326-45CD-95AF-C2EA6321D352}"/>
    <hyperlink ref="I76" location="KSW!F18" display="KSW!F18" xr:uid="{1FEE4CE0-0FC8-4A2D-A6C9-94251F0CFD31}"/>
    <hyperlink ref="J76" location="KSW!F19" display="KSW!F19" xr:uid="{26B179A1-F142-4706-8334-5DFC5E72110F}"/>
    <hyperlink ref="K76" location="KSW!F20" display="KSW!F20" xr:uid="{DA970A2A-3971-47BC-A2AE-09BC4D22FA7F}"/>
    <hyperlink ref="H58" location="KSW!F17" display="KSW!F17" xr:uid="{277C5900-336D-45C4-BFA3-7152DC1502BA}"/>
    <hyperlink ref="I58" location="KSW!F18" display="KSW!F18" xr:uid="{0874A3E2-E547-4D31-A713-E06A190A7E83}"/>
    <hyperlink ref="J58" location="KSW!F19" display="KSW!F19" xr:uid="{14D9A0D4-1560-4BA3-870E-91A4DD9F0514}"/>
    <hyperlink ref="K58" location="KSW!F20" display="KSW!F20" xr:uid="{D1EE8269-FA10-403A-B0F5-FCCE8D8950C3}"/>
    <hyperlink ref="L76" location="KSW!F21" display="KSW!F21" xr:uid="{ECD6118A-FF73-497C-8464-7E6FDC0377B3}"/>
    <hyperlink ref="M76" location="KSW!F22" display="KSW!F22" xr:uid="{45FA9849-AA50-418C-9CEB-54250B352C56}"/>
  </hyperlinks>
  <pageMargins left="0.7" right="0.7" top="0.78740157499999996" bottom="0.78740157499999996" header="0.3" footer="0.3"/>
  <pageSetup paperSize="9" orientation="landscape" verticalDpi="0" r:id="rId1"/>
  <legacyDrawing r:id="rId2"/>
  <tableParts count="7">
    <tablePart r:id="rId3"/>
    <tablePart r:id="rId4"/>
    <tablePart r:id="rId5"/>
    <tablePart r:id="rId6"/>
    <tablePart r:id="rId7"/>
    <tablePart r:id="rId8"/>
    <tablePart r:id="rId9"/>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E8C4-9568-41E4-A593-FB0423AEDD00}">
  <sheetPr codeName="Tabelle6"/>
  <dimension ref="A1:AF85"/>
  <sheetViews>
    <sheetView showGridLines="0" topLeftCell="A3" zoomScale="75" zoomScaleNormal="75" workbookViewId="0">
      <selection activeCell="B19" sqref="B19"/>
    </sheetView>
  </sheetViews>
  <sheetFormatPr baseColWidth="10" defaultColWidth="11.5" defaultRowHeight="15" outlineLevelRow="1" x14ac:dyDescent="0.2"/>
  <cols>
    <col min="1" max="1" width="10.33203125" customWidth="1"/>
    <col min="2" max="2" width="29.33203125" customWidth="1"/>
    <col min="3" max="3" width="16.5" customWidth="1"/>
    <col min="4" max="4" width="15.83203125" customWidth="1"/>
    <col min="5" max="5" width="16" customWidth="1"/>
    <col min="6" max="6" width="14" customWidth="1"/>
    <col min="7" max="7" width="12.83203125" customWidth="1"/>
    <col min="8" max="8" width="13.33203125" customWidth="1"/>
    <col min="9" max="9" width="12.1640625" customWidth="1"/>
    <col min="10" max="10" width="13.5" customWidth="1"/>
    <col min="11" max="11" width="12" customWidth="1"/>
    <col min="15" max="15" width="14" customWidth="1"/>
    <col min="19" max="19" width="37.6640625" customWidth="1"/>
  </cols>
  <sheetData>
    <row r="1" spans="1:12" ht="19" x14ac:dyDescent="0.25">
      <c r="A1" s="11"/>
      <c r="B1" s="7" t="s">
        <v>757</v>
      </c>
    </row>
    <row r="2" spans="1:12" ht="19.5" customHeight="1" thickBot="1" x14ac:dyDescent="0.25"/>
    <row r="3" spans="1:12" s="213" customFormat="1" ht="34.5" customHeight="1" thickBot="1" x14ac:dyDescent="0.25">
      <c r="A3" s="214" t="s">
        <v>1</v>
      </c>
      <c r="B3" s="332" t="s">
        <v>4</v>
      </c>
      <c r="C3" s="311" t="s">
        <v>701</v>
      </c>
      <c r="D3" s="312" t="s">
        <v>702</v>
      </c>
      <c r="E3" s="313" t="s">
        <v>1349</v>
      </c>
      <c r="F3" s="946" t="s">
        <v>1335</v>
      </c>
      <c r="G3" s="946" t="s">
        <v>1348</v>
      </c>
      <c r="H3" s="946" t="s">
        <v>1334</v>
      </c>
      <c r="I3" s="209" t="s">
        <v>705</v>
      </c>
      <c r="J3" s="211" t="s">
        <v>7</v>
      </c>
      <c r="K3" s="212" t="s">
        <v>706</v>
      </c>
      <c r="L3" s="313" t="s">
        <v>707</v>
      </c>
    </row>
    <row r="4" spans="1:12" ht="18.75" customHeight="1" x14ac:dyDescent="0.2">
      <c r="A4" s="152" t="s">
        <v>708</v>
      </c>
      <c r="B4" s="153"/>
      <c r="C4" s="153"/>
      <c r="D4" s="153"/>
      <c r="E4" s="952"/>
      <c r="F4" s="953"/>
      <c r="G4" s="911"/>
      <c r="H4" s="962"/>
      <c r="I4" s="945"/>
      <c r="J4" s="154"/>
      <c r="K4" s="36"/>
      <c r="L4" s="66"/>
    </row>
    <row r="5" spans="1:12" x14ac:dyDescent="0.2">
      <c r="A5" s="155" t="s">
        <v>73</v>
      </c>
      <c r="B5" s="190" t="s">
        <v>633</v>
      </c>
      <c r="C5" s="126"/>
      <c r="D5" s="126"/>
      <c r="E5" s="150">
        <v>24000</v>
      </c>
      <c r="F5" s="929"/>
      <c r="G5" s="924">
        <v>29222</v>
      </c>
      <c r="H5" s="913">
        <f>Tabelle41023[[#Totals],[Teilnahmebeiträge Fachseminare]]</f>
        <v>29222</v>
      </c>
      <c r="I5" s="903">
        <v>24000</v>
      </c>
      <c r="J5" s="656">
        <v>23964</v>
      </c>
      <c r="K5" s="156"/>
      <c r="L5" s="126"/>
    </row>
    <row r="6" spans="1:12" x14ac:dyDescent="0.2">
      <c r="A6" s="155" t="s">
        <v>85</v>
      </c>
      <c r="B6" s="190" t="s">
        <v>634</v>
      </c>
      <c r="C6" s="126"/>
      <c r="D6" s="126"/>
      <c r="E6" s="150">
        <v>0</v>
      </c>
      <c r="F6" s="929"/>
      <c r="G6" s="924">
        <v>0</v>
      </c>
      <c r="H6" s="913">
        <f>Tabelle41023[[#Totals],[Teilnahmebeiträge Veranstaltungen]]+Tabelle51324[[#Totals],[Teilnahmebeiträge Veranstaltungen]]</f>
        <v>0</v>
      </c>
      <c r="I6" s="903">
        <v>0</v>
      </c>
      <c r="J6" s="656">
        <v>0</v>
      </c>
      <c r="K6" s="156"/>
      <c r="L6" s="126"/>
    </row>
    <row r="7" spans="1:12" ht="16" thickBot="1" x14ac:dyDescent="0.25">
      <c r="A7" s="155" t="s">
        <v>92</v>
      </c>
      <c r="B7" s="190" t="s">
        <v>709</v>
      </c>
      <c r="C7" s="126"/>
      <c r="D7" s="126"/>
      <c r="E7" s="150">
        <v>0</v>
      </c>
      <c r="F7" s="929"/>
      <c r="G7" s="924">
        <v>0</v>
      </c>
      <c r="H7" s="913">
        <f>Tabelle41023[[#Totals],[Sonstige Einnahmen]]+Tabelle51324[[#Totals],[Sonstige Einnahmen]]</f>
        <v>0</v>
      </c>
      <c r="I7" s="903">
        <v>0</v>
      </c>
      <c r="J7" s="656">
        <v>0</v>
      </c>
      <c r="K7" s="156"/>
      <c r="L7" s="126"/>
    </row>
    <row r="8" spans="1:12" ht="16" thickBot="1" x14ac:dyDescent="0.25">
      <c r="A8" s="157"/>
      <c r="B8" s="158"/>
      <c r="C8" s="158"/>
      <c r="D8" s="158" t="s">
        <v>566</v>
      </c>
      <c r="E8" s="954">
        <f t="shared" ref="E8:F8" si="0">SUBTOTAL(9,E5:E7)</f>
        <v>24000</v>
      </c>
      <c r="F8" s="148">
        <f t="shared" si="0"/>
        <v>0</v>
      </c>
      <c r="G8" s="964">
        <f>SUBTOTAL(9,G5:G7)</f>
        <v>29222</v>
      </c>
      <c r="H8" s="914">
        <f>SUBTOTAL(9,H5:H7)</f>
        <v>29222</v>
      </c>
      <c r="I8" s="904">
        <f>SUBTOTAL(9,I5:I7)</f>
        <v>24000</v>
      </c>
      <c r="J8" s="147">
        <f>SUBTOTAL(9,J5:J7)</f>
        <v>23964</v>
      </c>
      <c r="K8" s="159"/>
      <c r="L8" s="314"/>
    </row>
    <row r="9" spans="1:12" ht="18.75" customHeight="1" x14ac:dyDescent="0.2">
      <c r="A9" s="160" t="s">
        <v>119</v>
      </c>
      <c r="B9" s="161"/>
      <c r="C9" s="161"/>
      <c r="D9" s="161"/>
      <c r="E9" s="149"/>
      <c r="F9" s="932"/>
      <c r="G9" s="965"/>
      <c r="H9" s="915"/>
      <c r="I9" s="905"/>
      <c r="J9" s="161"/>
      <c r="K9" s="162"/>
      <c r="L9" s="126"/>
    </row>
    <row r="10" spans="1:12" x14ac:dyDescent="0.2">
      <c r="A10" s="163" t="s">
        <v>134</v>
      </c>
      <c r="B10" s="126" t="s">
        <v>710</v>
      </c>
      <c r="C10" s="126"/>
      <c r="D10" s="126"/>
      <c r="E10" s="150">
        <v>9600</v>
      </c>
      <c r="F10" s="929"/>
      <c r="G10" s="924">
        <v>9600</v>
      </c>
      <c r="H10" s="916">
        <f>800*12</f>
        <v>9600</v>
      </c>
      <c r="I10" s="906">
        <f>800*12</f>
        <v>9600</v>
      </c>
      <c r="J10" s="656">
        <v>9500</v>
      </c>
      <c r="K10" s="156"/>
      <c r="L10" s="126"/>
    </row>
    <row r="11" spans="1:12" x14ac:dyDescent="0.2">
      <c r="A11" s="163" t="s">
        <v>141</v>
      </c>
      <c r="B11" s="190" t="s">
        <v>711</v>
      </c>
      <c r="C11" s="126"/>
      <c r="D11" s="126"/>
      <c r="E11" s="150">
        <v>4400</v>
      </c>
      <c r="F11" s="929"/>
      <c r="G11" s="924">
        <v>4500</v>
      </c>
      <c r="H11" s="913">
        <f>Tabelle61525[[#Totals],[Aufwandsentschädigungen]]</f>
        <v>4500</v>
      </c>
      <c r="I11" s="903">
        <v>2400</v>
      </c>
      <c r="J11" s="660">
        <v>3110</v>
      </c>
      <c r="K11" s="156"/>
      <c r="L11" s="126"/>
    </row>
    <row r="12" spans="1:12" x14ac:dyDescent="0.2">
      <c r="A12" s="163" t="s">
        <v>1188</v>
      </c>
      <c r="B12" s="190" t="s">
        <v>713</v>
      </c>
      <c r="C12" s="126"/>
      <c r="D12" s="126"/>
      <c r="E12" s="150">
        <v>2000</v>
      </c>
      <c r="F12" s="929"/>
      <c r="G12" s="924">
        <v>2600</v>
      </c>
      <c r="H12" s="913">
        <f>Tabelle61525[[#Totals],[Interne Reisekosten]]</f>
        <v>2600</v>
      </c>
      <c r="I12" s="903">
        <v>1500</v>
      </c>
      <c r="J12" s="660">
        <v>897.76</v>
      </c>
      <c r="K12" s="156"/>
      <c r="L12" s="126"/>
    </row>
    <row r="13" spans="1:12" ht="15" customHeight="1" x14ac:dyDescent="0.2">
      <c r="A13" s="163" t="s">
        <v>274</v>
      </c>
      <c r="B13" s="190" t="s">
        <v>714</v>
      </c>
      <c r="C13" s="164"/>
      <c r="D13" s="164"/>
      <c r="E13" s="955">
        <v>1400</v>
      </c>
      <c r="F13" s="935"/>
      <c r="G13" s="966">
        <v>1600</v>
      </c>
      <c r="H13" s="947">
        <f>Tabelle61525[[#Totals],[Raum + Unterkunft intern]]</f>
        <v>1600</v>
      </c>
      <c r="I13" s="903">
        <v>500</v>
      </c>
      <c r="J13" s="660">
        <v>551</v>
      </c>
      <c r="K13" s="165"/>
      <c r="L13" s="126"/>
    </row>
    <row r="14" spans="1:12" x14ac:dyDescent="0.2">
      <c r="A14" s="163" t="s">
        <v>298</v>
      </c>
      <c r="B14" s="192" t="s">
        <v>715</v>
      </c>
      <c r="C14" s="66"/>
      <c r="D14" s="66"/>
      <c r="E14" s="956">
        <v>500</v>
      </c>
      <c r="F14" s="937"/>
      <c r="G14" s="967">
        <v>400</v>
      </c>
      <c r="H14" s="948">
        <f>Tabelle61525[[#Totals],[Repräsentation/Bewirtung intern]]</f>
        <v>400</v>
      </c>
      <c r="I14" s="903">
        <v>500</v>
      </c>
      <c r="J14" s="661">
        <v>0</v>
      </c>
      <c r="K14" s="166"/>
      <c r="L14" s="66"/>
    </row>
    <row r="15" spans="1:12" x14ac:dyDescent="0.2">
      <c r="A15" s="163" t="s">
        <v>344</v>
      </c>
      <c r="B15" s="190" t="s">
        <v>716</v>
      </c>
      <c r="C15" s="126"/>
      <c r="D15" s="126"/>
      <c r="E15" s="150">
        <v>23000</v>
      </c>
      <c r="F15" s="929"/>
      <c r="G15" s="924">
        <v>24540</v>
      </c>
      <c r="H15" s="913">
        <f>Tabelle41023[[#Totals],[Honorare Dozierende Fachseminare]]</f>
        <v>24540</v>
      </c>
      <c r="I15" s="903">
        <v>22000</v>
      </c>
      <c r="J15" s="660">
        <v>22905</v>
      </c>
      <c r="K15" s="156"/>
      <c r="L15" s="126"/>
    </row>
    <row r="16" spans="1:12" x14ac:dyDescent="0.2">
      <c r="A16" s="163" t="s">
        <v>355</v>
      </c>
      <c r="B16" s="191" t="s">
        <v>323</v>
      </c>
      <c r="C16" s="66"/>
      <c r="D16" s="66"/>
      <c r="E16" s="956">
        <v>2000</v>
      </c>
      <c r="F16" s="937"/>
      <c r="G16" s="967">
        <v>2000</v>
      </c>
      <c r="H16" s="919">
        <f>Tabelle51324[[#Totals],[Andere Honorare]]</f>
        <v>2000</v>
      </c>
      <c r="I16" s="903">
        <v>0</v>
      </c>
      <c r="J16" s="661">
        <v>0</v>
      </c>
      <c r="K16" s="166"/>
      <c r="L16" s="66"/>
    </row>
    <row r="17" spans="1:12" x14ac:dyDescent="0.2">
      <c r="A17" s="163" t="s">
        <v>364</v>
      </c>
      <c r="B17" s="191" t="s">
        <v>717</v>
      </c>
      <c r="C17" s="66"/>
      <c r="D17" s="66"/>
      <c r="E17" s="956">
        <v>500</v>
      </c>
      <c r="F17" s="937"/>
      <c r="G17" s="967">
        <v>100</v>
      </c>
      <c r="H17" s="919">
        <f>Tabelle41023[[#Totals],[Externe Reisekosten]]</f>
        <v>100</v>
      </c>
      <c r="I17" s="903">
        <v>1000</v>
      </c>
      <c r="J17" s="661">
        <v>0</v>
      </c>
      <c r="K17" s="166"/>
      <c r="L17" s="66"/>
    </row>
    <row r="18" spans="1:12" x14ac:dyDescent="0.2">
      <c r="A18" s="163" t="s">
        <v>373</v>
      </c>
      <c r="B18" s="191" t="s">
        <v>368</v>
      </c>
      <c r="C18" s="66"/>
      <c r="D18" s="66"/>
      <c r="E18" s="956">
        <v>200</v>
      </c>
      <c r="F18" s="937"/>
      <c r="G18" s="967">
        <v>500</v>
      </c>
      <c r="H18" s="919">
        <f>Tabelle41023[[#Totals],[Repräsentation/Bewirtung extern]]+Tabelle51324[[#Totals],[Repräsentation/Bewirtung extern]]</f>
        <v>500</v>
      </c>
      <c r="I18" s="903">
        <v>200</v>
      </c>
      <c r="J18" s="661">
        <v>0</v>
      </c>
      <c r="K18" s="166"/>
      <c r="L18" s="66"/>
    </row>
    <row r="19" spans="1:12" x14ac:dyDescent="0.2">
      <c r="A19" s="163" t="s">
        <v>385</v>
      </c>
      <c r="B19" s="191" t="s">
        <v>718</v>
      </c>
      <c r="C19" s="66"/>
      <c r="D19" s="66"/>
      <c r="E19" s="956">
        <v>500</v>
      </c>
      <c r="F19" s="937"/>
      <c r="G19" s="967">
        <v>600</v>
      </c>
      <c r="H19" s="919">
        <f>Tabelle41023[[#Totals],[Raum + Unterkunft extern]]+Tabelle51324[[#Totals],[Raum + Unterkunft extern]]</f>
        <v>600</v>
      </c>
      <c r="I19" s="903">
        <v>2000</v>
      </c>
      <c r="J19" s="661">
        <v>0</v>
      </c>
      <c r="K19" s="166"/>
      <c r="L19" s="66"/>
    </row>
    <row r="20" spans="1:12" x14ac:dyDescent="0.2">
      <c r="A20" s="163" t="s">
        <v>395</v>
      </c>
      <c r="B20" s="191" t="s">
        <v>1213</v>
      </c>
      <c r="C20" s="66"/>
      <c r="D20" s="66"/>
      <c r="E20" s="956">
        <v>0</v>
      </c>
      <c r="F20" s="937"/>
      <c r="G20" s="967">
        <v>2620</v>
      </c>
      <c r="H20" s="919">
        <f>Tabelle41023[[#Totals],[Verwaltungs- und Druckkosten]]+Tabelle51324[[#Totals],[Druckkosten]]</f>
        <v>2620</v>
      </c>
      <c r="I20" s="903">
        <v>0</v>
      </c>
      <c r="J20" s="661">
        <v>0</v>
      </c>
      <c r="K20" s="166"/>
      <c r="L20" s="66"/>
    </row>
    <row r="21" spans="1:12" x14ac:dyDescent="0.2">
      <c r="A21" s="163" t="s">
        <v>407</v>
      </c>
      <c r="B21" s="192" t="s">
        <v>402</v>
      </c>
      <c r="C21" s="66"/>
      <c r="D21" s="66"/>
      <c r="E21" s="956">
        <v>1000</v>
      </c>
      <c r="F21" s="937"/>
      <c r="G21" s="967">
        <v>1000</v>
      </c>
      <c r="H21" s="948">
        <f>Tabelle51324[[#Totals],[Sonstige Kosten]]</f>
        <v>1000</v>
      </c>
      <c r="I21" s="903">
        <v>1000</v>
      </c>
      <c r="J21" s="661">
        <v>30</v>
      </c>
      <c r="K21" s="166"/>
      <c r="L21" s="66"/>
    </row>
    <row r="22" spans="1:12" ht="16" thickBot="1" x14ac:dyDescent="0.25">
      <c r="A22" s="163" t="s">
        <v>431</v>
      </c>
      <c r="B22" s="192" t="s">
        <v>658</v>
      </c>
      <c r="C22" s="66"/>
      <c r="D22" s="66"/>
      <c r="E22" s="956">
        <v>500</v>
      </c>
      <c r="F22" s="937"/>
      <c r="G22" s="968">
        <v>500</v>
      </c>
      <c r="H22" s="963">
        <f>Tabelle51324[[#Totals],[Rechtsangelegenheiten]]</f>
        <v>500</v>
      </c>
      <c r="I22" s="907">
        <v>500</v>
      </c>
      <c r="J22" s="661">
        <v>0</v>
      </c>
      <c r="K22" s="166"/>
      <c r="L22" s="66"/>
    </row>
    <row r="23" spans="1:12" ht="16" thickBot="1" x14ac:dyDescent="0.25">
      <c r="A23" s="167"/>
      <c r="B23" s="168"/>
      <c r="C23" s="168"/>
      <c r="D23" s="169" t="s">
        <v>566</v>
      </c>
      <c r="E23" s="969">
        <f t="shared" ref="E23:H23" si="1">SUBTOTAL(109,E10:E22)</f>
        <v>45600</v>
      </c>
      <c r="F23" s="969">
        <f t="shared" si="1"/>
        <v>0</v>
      </c>
      <c r="G23" s="969">
        <f t="shared" si="1"/>
        <v>50560</v>
      </c>
      <c r="H23" s="151">
        <f t="shared" si="1"/>
        <v>50560</v>
      </c>
      <c r="I23" s="151">
        <f>SUBTOTAL(109,I10:I22)</f>
        <v>41200</v>
      </c>
      <c r="J23" s="151">
        <f>SUBTOTAL(109,J10:J22)</f>
        <v>36993.760000000002</v>
      </c>
      <c r="K23" s="170"/>
      <c r="L23" s="612"/>
    </row>
    <row r="24" spans="1:12" ht="16" thickBot="1" x14ac:dyDescent="0.25">
      <c r="A24" s="64"/>
      <c r="B24" s="66"/>
      <c r="C24" s="66"/>
      <c r="D24" s="66"/>
      <c r="E24" s="66"/>
      <c r="F24" s="66"/>
      <c r="G24" s="66"/>
      <c r="H24" s="66"/>
    </row>
    <row r="25" spans="1:12" ht="16" thickBot="1" x14ac:dyDescent="0.25">
      <c r="A25" s="64"/>
      <c r="B25" s="66"/>
      <c r="C25" s="66"/>
      <c r="D25" s="172" t="s">
        <v>719</v>
      </c>
      <c r="E25" s="173">
        <f>E8-Tabelle182226[[#Totals],[Freie Eingabe Plan 23-24]]</f>
        <v>-21600</v>
      </c>
      <c r="F25" s="173">
        <f>F8-Tabelle182226[[#Totals],[Rechnung HHJ 23-24]]</f>
        <v>0</v>
      </c>
      <c r="G25" s="173">
        <f>G8-Tabelle182226[[#Totals],[Freie Eingabe Plan 22-232]]</f>
        <v>-21338</v>
      </c>
      <c r="H25" s="315">
        <f>H8-Tabelle182226[[#Totals],[Rechnung HHJ 22-232]]</f>
        <v>-21338</v>
      </c>
      <c r="I25" s="315">
        <f>I8-Tabelle182226[[#Totals],[Freie Eingabe Plan HHJ 21-22]]</f>
        <v>-17200</v>
      </c>
      <c r="J25" s="315">
        <f>J8-Tabelle182226[[#Totals],[IST HHJ 21-22]]</f>
        <v>-13029.760000000002</v>
      </c>
      <c r="K25" s="315"/>
    </row>
    <row r="26" spans="1:12" x14ac:dyDescent="0.2">
      <c r="A26" s="63"/>
      <c r="B26" s="62"/>
      <c r="C26" s="62"/>
      <c r="D26" s="62"/>
      <c r="E26" s="62"/>
      <c r="F26" s="62"/>
      <c r="G26" s="62"/>
      <c r="H26" s="62"/>
    </row>
    <row r="27" spans="1:12" ht="16" x14ac:dyDescent="0.2">
      <c r="B27" s="100" t="s">
        <v>720</v>
      </c>
      <c r="C27" s="62"/>
      <c r="D27" s="62"/>
      <c r="E27" s="74"/>
      <c r="F27" s="62"/>
      <c r="G27" s="62"/>
      <c r="H27" s="62"/>
    </row>
    <row r="28" spans="1:12" ht="16" x14ac:dyDescent="0.2">
      <c r="B28" s="63" t="s">
        <v>721</v>
      </c>
      <c r="C28" s="62"/>
      <c r="D28" s="62"/>
      <c r="E28" s="74"/>
      <c r="F28" s="62"/>
      <c r="G28" s="62"/>
      <c r="H28" s="62"/>
    </row>
    <row r="29" spans="1:12" x14ac:dyDescent="0.2">
      <c r="B29" s="63" t="s">
        <v>722</v>
      </c>
      <c r="C29" s="66"/>
      <c r="D29" s="66"/>
      <c r="E29" s="75"/>
      <c r="F29" s="66"/>
      <c r="G29" s="66"/>
      <c r="H29" s="66"/>
    </row>
    <row r="30" spans="1:12" x14ac:dyDescent="0.2">
      <c r="A30" s="64"/>
      <c r="B30" s="66"/>
      <c r="C30" s="66"/>
      <c r="D30" s="66"/>
      <c r="E30" s="75"/>
      <c r="F30" s="66"/>
      <c r="G30" s="66"/>
      <c r="H30" s="66"/>
    </row>
    <row r="31" spans="1:12" x14ac:dyDescent="0.2">
      <c r="A31" s="63"/>
      <c r="B31" s="62"/>
      <c r="C31" s="62"/>
      <c r="D31" s="62"/>
      <c r="E31" s="62"/>
      <c r="F31" s="62"/>
      <c r="G31" s="62"/>
      <c r="H31" s="62"/>
    </row>
    <row r="32" spans="1:12" ht="16" x14ac:dyDescent="0.2">
      <c r="A32" s="7"/>
      <c r="B32" s="7" t="s">
        <v>1215</v>
      </c>
      <c r="D32" s="6" t="s">
        <v>723</v>
      </c>
    </row>
    <row r="33" spans="1:32" ht="17" thickBot="1" x14ac:dyDescent="0.25">
      <c r="A33" s="7"/>
    </row>
    <row r="34" spans="1:32" ht="16" thickBot="1" x14ac:dyDescent="0.25">
      <c r="A34" s="316"/>
      <c r="B34" s="317" t="s">
        <v>639</v>
      </c>
      <c r="C34" s="318" t="s">
        <v>73</v>
      </c>
      <c r="D34" s="319" t="s">
        <v>85</v>
      </c>
      <c r="E34" s="319" t="s">
        <v>92</v>
      </c>
      <c r="F34" s="320" t="s">
        <v>344</v>
      </c>
      <c r="G34" s="320" t="s">
        <v>355</v>
      </c>
      <c r="H34" s="320" t="s">
        <v>364</v>
      </c>
      <c r="I34" s="320" t="s">
        <v>373</v>
      </c>
      <c r="J34" s="320" t="s">
        <v>385</v>
      </c>
      <c r="K34" s="320" t="s">
        <v>395</v>
      </c>
      <c r="L34" s="321"/>
      <c r="R34" s="316"/>
      <c r="S34" s="317" t="s">
        <v>639</v>
      </c>
      <c r="T34" s="318" t="s">
        <v>73</v>
      </c>
      <c r="U34" s="319" t="s">
        <v>85</v>
      </c>
      <c r="V34" s="319" t="s">
        <v>92</v>
      </c>
      <c r="W34" s="320" t="s">
        <v>344</v>
      </c>
      <c r="X34" s="320" t="s">
        <v>355</v>
      </c>
      <c r="Y34" s="320" t="s">
        <v>364</v>
      </c>
      <c r="Z34" s="320" t="s">
        <v>373</v>
      </c>
      <c r="AA34" s="320" t="s">
        <v>385</v>
      </c>
      <c r="AB34" s="320" t="s">
        <v>395</v>
      </c>
      <c r="AC34" s="321"/>
    </row>
    <row r="35" spans="1:32" ht="61" thickBot="1" x14ac:dyDescent="0.25">
      <c r="A35" s="81" t="s">
        <v>724</v>
      </c>
      <c r="B35" s="119" t="s">
        <v>725</v>
      </c>
      <c r="C35" s="322" t="s">
        <v>726</v>
      </c>
      <c r="D35" s="323" t="s">
        <v>634</v>
      </c>
      <c r="E35" s="323" t="s">
        <v>727</v>
      </c>
      <c r="F35" s="323" t="s">
        <v>320</v>
      </c>
      <c r="G35" s="323" t="s">
        <v>732</v>
      </c>
      <c r="H35" s="323" t="s">
        <v>326</v>
      </c>
      <c r="I35" s="323" t="s">
        <v>728</v>
      </c>
      <c r="J35" s="323" t="s">
        <v>729</v>
      </c>
      <c r="K35" s="323" t="s">
        <v>1206</v>
      </c>
      <c r="L35" s="324" t="s">
        <v>590</v>
      </c>
      <c r="R35" s="81" t="s">
        <v>724</v>
      </c>
      <c r="S35" s="119" t="s">
        <v>725</v>
      </c>
      <c r="T35" s="322" t="s">
        <v>726</v>
      </c>
      <c r="U35" s="323" t="s">
        <v>634</v>
      </c>
      <c r="V35" s="323" t="s">
        <v>727</v>
      </c>
      <c r="W35" s="323" t="s">
        <v>320</v>
      </c>
      <c r="X35" s="323" t="s">
        <v>732</v>
      </c>
      <c r="Y35" s="323" t="s">
        <v>326</v>
      </c>
      <c r="Z35" s="323" t="s">
        <v>728</v>
      </c>
      <c r="AA35" s="323" t="s">
        <v>729</v>
      </c>
      <c r="AB35" s="323" t="s">
        <v>1206</v>
      </c>
      <c r="AC35" s="324" t="s">
        <v>590</v>
      </c>
    </row>
    <row r="36" spans="1:32" s="67" customFormat="1" ht="240" customHeight="1" outlineLevel="1" x14ac:dyDescent="0.2">
      <c r="A36" s="76">
        <f>ROW(A1)</f>
        <v>1</v>
      </c>
      <c r="B36" s="606" t="s">
        <v>1242</v>
      </c>
      <c r="C36" s="101"/>
      <c r="D36" s="267"/>
      <c r="E36" s="267"/>
      <c r="F36" s="267"/>
      <c r="G36" s="267"/>
      <c r="H36" s="267"/>
      <c r="I36" s="267"/>
      <c r="J36" s="267"/>
      <c r="K36" s="267"/>
      <c r="L36" s="271">
        <f>SUM(C36:E36)-SUM(F36:K36)</f>
        <v>0</v>
      </c>
      <c r="N36" s="604" t="s">
        <v>1259</v>
      </c>
      <c r="R36" s="76">
        <f t="shared" ref="R36:R42" si="2">ROW(A1)</f>
        <v>1</v>
      </c>
      <c r="S36" s="606" t="s">
        <v>1242</v>
      </c>
      <c r="T36" s="101"/>
      <c r="U36" s="267"/>
      <c r="V36" s="267"/>
      <c r="W36" s="267"/>
      <c r="X36" s="267"/>
      <c r="Y36" s="267"/>
      <c r="Z36" s="267"/>
      <c r="AA36" s="267"/>
      <c r="AB36" s="267"/>
      <c r="AC36" s="271">
        <f>SUM(T36:V36)-SUM(W36:AB36)</f>
        <v>0</v>
      </c>
      <c r="AE36" s="604" t="s">
        <v>1259</v>
      </c>
    </row>
    <row r="37" spans="1:32" s="67" customFormat="1" ht="42" customHeight="1" outlineLevel="1" x14ac:dyDescent="0.2">
      <c r="A37" s="76">
        <f t="shared" ref="A37:A42" si="3">ROW(A2)</f>
        <v>2</v>
      </c>
      <c r="B37" s="249" t="s">
        <v>1344</v>
      </c>
      <c r="C37" s="101">
        <f>1350*3</f>
        <v>4050</v>
      </c>
      <c r="D37" s="102"/>
      <c r="E37" s="102"/>
      <c r="F37" s="102">
        <f>765*3</f>
        <v>2295</v>
      </c>
      <c r="G37" s="102"/>
      <c r="H37" s="102"/>
      <c r="I37" s="102"/>
      <c r="J37" s="102"/>
      <c r="K37" s="102"/>
      <c r="L37" s="103">
        <f t="shared" ref="L37:L42" si="4">SUM(C37:E37)-SUM(F37:K37)</f>
        <v>1755</v>
      </c>
      <c r="R37" s="76">
        <f t="shared" si="2"/>
        <v>2</v>
      </c>
      <c r="S37" s="249" t="s">
        <v>1245</v>
      </c>
      <c r="T37" s="101">
        <v>5388</v>
      </c>
      <c r="U37" s="102"/>
      <c r="V37" s="102"/>
      <c r="W37" s="102">
        <f>765*6</f>
        <v>4590</v>
      </c>
      <c r="X37" s="102">
        <f t="shared" ref="X37:X38" si="5">43*6</f>
        <v>258</v>
      </c>
      <c r="Y37" s="102"/>
      <c r="Z37" s="102"/>
      <c r="AA37" s="102"/>
      <c r="AB37" s="102">
        <f>270*2</f>
        <v>540</v>
      </c>
      <c r="AC37" s="103">
        <f t="shared" ref="AC37:AC42" si="6">SUM(T37:V37)-SUM(W37:AB37)</f>
        <v>0</v>
      </c>
    </row>
    <row r="38" spans="1:32" s="67" customFormat="1" ht="36.75" customHeight="1" outlineLevel="1" x14ac:dyDescent="0.2">
      <c r="A38" s="76">
        <f t="shared" si="3"/>
        <v>3</v>
      </c>
      <c r="B38" s="249" t="s">
        <v>1347</v>
      </c>
      <c r="C38" s="101">
        <f>1350+1000</f>
        <v>2350</v>
      </c>
      <c r="D38" s="102"/>
      <c r="E38" s="620"/>
      <c r="F38" s="621">
        <f>765*3+1800</f>
        <v>4095</v>
      </c>
      <c r="G38" s="102"/>
      <c r="H38" s="102"/>
      <c r="I38" s="102"/>
      <c r="J38" s="102"/>
      <c r="K38" s="102"/>
      <c r="L38" s="103">
        <f t="shared" si="4"/>
        <v>-1745</v>
      </c>
      <c r="R38" s="76">
        <f t="shared" si="2"/>
        <v>3</v>
      </c>
      <c r="S38" s="249" t="s">
        <v>1244</v>
      </c>
      <c r="T38" s="101">
        <v>5388</v>
      </c>
      <c r="U38" s="102"/>
      <c r="V38" s="620"/>
      <c r="W38" s="621">
        <f>765*6</f>
        <v>4590</v>
      </c>
      <c r="X38" s="102">
        <f t="shared" si="5"/>
        <v>258</v>
      </c>
      <c r="Y38" s="102"/>
      <c r="Z38" s="102"/>
      <c r="AA38" s="102"/>
      <c r="AB38" s="102">
        <v>540</v>
      </c>
      <c r="AC38" s="103">
        <f t="shared" si="6"/>
        <v>0</v>
      </c>
    </row>
    <row r="39" spans="1:32" s="67" customFormat="1" ht="44.25" customHeight="1" outlineLevel="1" x14ac:dyDescent="0.2">
      <c r="A39" s="76">
        <f t="shared" si="3"/>
        <v>4</v>
      </c>
      <c r="B39" s="249" t="s">
        <v>1345</v>
      </c>
      <c r="C39" s="101">
        <v>1200</v>
      </c>
      <c r="D39" s="102"/>
      <c r="E39" s="102"/>
      <c r="F39" s="102">
        <v>1080</v>
      </c>
      <c r="G39" s="102"/>
      <c r="H39" s="102"/>
      <c r="I39" s="102"/>
      <c r="J39" s="102"/>
      <c r="K39" s="102"/>
      <c r="L39" s="103">
        <f t="shared" si="4"/>
        <v>120</v>
      </c>
      <c r="R39" s="76">
        <f t="shared" si="2"/>
        <v>4</v>
      </c>
      <c r="S39" s="249" t="s">
        <v>1243</v>
      </c>
      <c r="T39" s="101">
        <v>2492</v>
      </c>
      <c r="U39" s="102"/>
      <c r="V39" s="102"/>
      <c r="W39" s="102">
        <f>540*4</f>
        <v>2160</v>
      </c>
      <c r="X39" s="102">
        <f>43*4</f>
        <v>172</v>
      </c>
      <c r="Y39" s="102"/>
      <c r="Z39" s="102"/>
      <c r="AA39" s="102"/>
      <c r="AB39" s="102">
        <v>160</v>
      </c>
      <c r="AC39" s="103">
        <f t="shared" si="6"/>
        <v>0</v>
      </c>
    </row>
    <row r="40" spans="1:32" s="67" customFormat="1" ht="42.75" customHeight="1" outlineLevel="1" x14ac:dyDescent="0.2">
      <c r="A40" s="76">
        <f t="shared" si="3"/>
        <v>5</v>
      </c>
      <c r="B40" s="249" t="s">
        <v>1346</v>
      </c>
      <c r="C40" s="101">
        <v>1500</v>
      </c>
      <c r="D40" s="102"/>
      <c r="E40" s="102"/>
      <c r="F40" s="102">
        <v>1800</v>
      </c>
      <c r="G40" s="102"/>
      <c r="H40" s="102"/>
      <c r="I40" s="102"/>
      <c r="J40" s="102"/>
      <c r="K40" s="102"/>
      <c r="L40" s="103">
        <f t="shared" si="4"/>
        <v>-300</v>
      </c>
      <c r="R40" s="76">
        <f t="shared" si="2"/>
        <v>5</v>
      </c>
      <c r="S40" s="249" t="s">
        <v>1246</v>
      </c>
      <c r="T40" s="101">
        <v>8264</v>
      </c>
      <c r="U40" s="102"/>
      <c r="V40" s="102"/>
      <c r="W40" s="102">
        <f>900*8</f>
        <v>7200</v>
      </c>
      <c r="X40" s="102">
        <f>43*8</f>
        <v>344</v>
      </c>
      <c r="Y40" s="102"/>
      <c r="Z40" s="102"/>
      <c r="AA40" s="102"/>
      <c r="AB40" s="102">
        <v>720</v>
      </c>
      <c r="AC40" s="103">
        <f t="shared" si="6"/>
        <v>0</v>
      </c>
    </row>
    <row r="41" spans="1:32" s="67" customFormat="1" ht="37.5" customHeight="1" outlineLevel="1" x14ac:dyDescent="0.2">
      <c r="A41" s="76">
        <f t="shared" si="3"/>
        <v>6</v>
      </c>
      <c r="B41" s="249"/>
      <c r="C41" s="101"/>
      <c r="D41" s="102"/>
      <c r="E41" s="102"/>
      <c r="F41" s="622"/>
      <c r="G41" s="102"/>
      <c r="H41" s="102"/>
      <c r="I41" s="102"/>
      <c r="J41" s="102"/>
      <c r="K41" s="102"/>
      <c r="L41" s="103">
        <f t="shared" si="4"/>
        <v>0</v>
      </c>
      <c r="R41" s="76">
        <f t="shared" si="2"/>
        <v>6</v>
      </c>
      <c r="S41" s="249" t="s">
        <v>1247</v>
      </c>
      <c r="T41" s="101">
        <v>4132</v>
      </c>
      <c r="U41" s="102"/>
      <c r="V41" s="102"/>
      <c r="W41" s="622">
        <f>900*4</f>
        <v>3600</v>
      </c>
      <c r="X41" s="102">
        <f>43*4</f>
        <v>172</v>
      </c>
      <c r="Y41" s="102"/>
      <c r="Z41" s="102"/>
      <c r="AA41" s="102"/>
      <c r="AB41" s="102">
        <v>360</v>
      </c>
      <c r="AC41" s="103">
        <f t="shared" si="6"/>
        <v>0</v>
      </c>
    </row>
    <row r="42" spans="1:32" s="67" customFormat="1" hidden="1" outlineLevel="1" x14ac:dyDescent="0.2">
      <c r="A42" s="76">
        <f t="shared" si="3"/>
        <v>7</v>
      </c>
      <c r="B42" s="68" t="s">
        <v>589</v>
      </c>
      <c r="C42" s="104">
        <v>3558</v>
      </c>
      <c r="D42" s="105">
        <v>0</v>
      </c>
      <c r="E42" s="105">
        <v>0</v>
      </c>
      <c r="F42" s="105">
        <v>2400</v>
      </c>
      <c r="G42" s="105">
        <v>258</v>
      </c>
      <c r="H42" s="105">
        <v>100</v>
      </c>
      <c r="I42" s="105">
        <v>200</v>
      </c>
      <c r="J42" s="105">
        <v>500</v>
      </c>
      <c r="K42" s="105">
        <v>100</v>
      </c>
      <c r="L42" s="103">
        <f t="shared" si="4"/>
        <v>0</v>
      </c>
      <c r="R42" s="76">
        <f t="shared" si="2"/>
        <v>7</v>
      </c>
      <c r="S42" s="68" t="s">
        <v>589</v>
      </c>
      <c r="T42" s="104">
        <v>3558</v>
      </c>
      <c r="U42" s="105">
        <v>0</v>
      </c>
      <c r="V42" s="105">
        <v>0</v>
      </c>
      <c r="W42" s="105">
        <v>2400</v>
      </c>
      <c r="X42" s="105">
        <v>258</v>
      </c>
      <c r="Y42" s="105">
        <v>100</v>
      </c>
      <c r="Z42" s="105">
        <v>200</v>
      </c>
      <c r="AA42" s="105">
        <v>500</v>
      </c>
      <c r="AB42" s="105">
        <v>100</v>
      </c>
      <c r="AC42" s="103">
        <f t="shared" si="6"/>
        <v>0</v>
      </c>
    </row>
    <row r="43" spans="1:32" s="67" customFormat="1" ht="16" outlineLevel="1" thickBot="1" x14ac:dyDescent="0.25">
      <c r="A43" s="76"/>
      <c r="B43" s="67" t="s">
        <v>589</v>
      </c>
      <c r="C43" s="107">
        <v>12000</v>
      </c>
      <c r="D43" s="102"/>
      <c r="E43" s="102"/>
      <c r="F43" s="108">
        <v>12000</v>
      </c>
      <c r="G43" s="102"/>
      <c r="H43" s="102"/>
      <c r="I43" s="102"/>
      <c r="J43" s="102"/>
      <c r="K43" s="102"/>
      <c r="L43" s="109"/>
      <c r="R43" s="76"/>
      <c r="T43" s="107"/>
      <c r="U43" s="102"/>
      <c r="V43" s="102"/>
      <c r="W43" s="108"/>
      <c r="X43" s="102"/>
      <c r="Y43" s="102"/>
      <c r="Z43" s="102"/>
      <c r="AA43" s="102"/>
      <c r="AB43" s="102"/>
      <c r="AC43" s="109"/>
    </row>
    <row r="44" spans="1:32" s="84" customFormat="1" ht="20.25" customHeight="1" thickBot="1" x14ac:dyDescent="0.25">
      <c r="A44" s="82"/>
      <c r="B44" s="83" t="s">
        <v>680</v>
      </c>
      <c r="C44" s="248">
        <f>SUBTOTAL(109,Tabelle4102351[Teilnahmebeiträge Fachseminare])</f>
        <v>21100</v>
      </c>
      <c r="D44" s="333">
        <f>SUBTOTAL(9,Tabelle4102351[Teilnahmebeiträge Veranstaltungen])</f>
        <v>0</v>
      </c>
      <c r="E44" s="333">
        <f>SUBTOTAL(9,Tabelle4102351[Sonstige Einnahmen])</f>
        <v>0</v>
      </c>
      <c r="F44" s="334">
        <f>SUBTOTAL(109,Tabelle4102351[Honorare Dozierende Fachseminare])</f>
        <v>21270</v>
      </c>
      <c r="G44" s="334">
        <f>SUBTOTAL(109,Tabelle4102351[Aufwandsentschädigungen])</f>
        <v>0</v>
      </c>
      <c r="H44" s="334">
        <f>SUBTOTAL(109,Tabelle4102351[Externe Reisekosten])</f>
        <v>0</v>
      </c>
      <c r="I44" s="334">
        <f>SUBTOTAL(109,Tabelle4102351[Repräsentation/Bewirtung extern])</f>
        <v>0</v>
      </c>
      <c r="J44" s="334">
        <f>SUBTOTAL(109,Tabelle4102351[Raum + Unterkunft extern])</f>
        <v>0</v>
      </c>
      <c r="K44" s="334">
        <f>SUBTOTAL(109,Tabelle4102351[Verwaltungs- und Druckkosten])</f>
        <v>0</v>
      </c>
      <c r="L44" s="334">
        <f>SUBTOTAL(109,Tabelle4102351[Gesamt])</f>
        <v>-170</v>
      </c>
      <c r="R44" s="82"/>
      <c r="S44" s="83" t="s">
        <v>680</v>
      </c>
      <c r="T44" s="248">
        <f>SUBTOTAL(9,Tabelle41023[Teilnahmebeiträge Fachseminare])</f>
        <v>29222</v>
      </c>
      <c r="U44" s="333">
        <f>SUBTOTAL(9,Tabelle41023[Teilnahmebeiträge Veranstaltungen])</f>
        <v>0</v>
      </c>
      <c r="V44" s="333">
        <f>SUBTOTAL(9,Tabelle41023[Sonstige Einnahmen])</f>
        <v>0</v>
      </c>
      <c r="W44" s="334">
        <f>SUBTOTAL(9,Tabelle41023[Honorare Dozierende Fachseminare])</f>
        <v>24540</v>
      </c>
      <c r="X44" s="334">
        <f>SUBTOTAL(9,Tabelle41023[Aufwandsentschädigungen])</f>
        <v>1462</v>
      </c>
      <c r="Y44" s="334">
        <f>SUBTOTAL(9,Tabelle41023[Externe Reisekosten])</f>
        <v>100</v>
      </c>
      <c r="Z44" s="334">
        <f>SUBTOTAL(9,Tabelle41023[Repräsentation/Bewirtung extern])</f>
        <v>200</v>
      </c>
      <c r="AA44" s="334">
        <f>SUBTOTAL(9,Tabelle41023[Raum + Unterkunft extern])</f>
        <v>500</v>
      </c>
      <c r="AB44" s="334">
        <f>SUBTOTAL(9,Tabelle41023[Verwaltungs- und Druckkosten])</f>
        <v>2420</v>
      </c>
      <c r="AC44" s="610">
        <f>SUBTOTAL(9,Tabelle41023[Gesamt])</f>
        <v>0</v>
      </c>
    </row>
    <row r="45" spans="1:32" ht="15" customHeight="1" x14ac:dyDescent="0.25">
      <c r="A45" s="11"/>
      <c r="R45" s="11"/>
    </row>
    <row r="46" spans="1:32" s="61" customFormat="1" ht="16" x14ac:dyDescent="0.2">
      <c r="A46" s="7"/>
      <c r="B46" s="7" t="s">
        <v>730</v>
      </c>
      <c r="D46" s="6" t="s">
        <v>723</v>
      </c>
      <c r="R46" s="7"/>
      <c r="S46" s="7" t="s">
        <v>730</v>
      </c>
      <c r="U46" s="6" t="s">
        <v>723</v>
      </c>
    </row>
    <row r="47" spans="1:32" ht="15.75" customHeight="1" thickBot="1" x14ac:dyDescent="0.3">
      <c r="A47" s="11"/>
      <c r="R47" s="11"/>
    </row>
    <row r="48" spans="1:32" ht="16" thickBot="1" x14ac:dyDescent="0.25">
      <c r="A48" s="86"/>
      <c r="B48" s="122" t="s">
        <v>639</v>
      </c>
      <c r="C48" s="77" t="s">
        <v>83</v>
      </c>
      <c r="D48" s="78" t="s">
        <v>90</v>
      </c>
      <c r="E48" s="79" t="s">
        <v>141</v>
      </c>
      <c r="F48" s="79" t="s">
        <v>248</v>
      </c>
      <c r="G48" s="79" t="s">
        <v>274</v>
      </c>
      <c r="H48" s="79" t="s">
        <v>298</v>
      </c>
      <c r="I48" s="79" t="s">
        <v>373</v>
      </c>
      <c r="J48" s="79" t="s">
        <v>385</v>
      </c>
      <c r="K48" s="79" t="s">
        <v>395</v>
      </c>
      <c r="L48" s="79" t="s">
        <v>407</v>
      </c>
      <c r="M48" s="79" t="s">
        <v>431</v>
      </c>
      <c r="N48" s="601" t="s">
        <v>355</v>
      </c>
      <c r="O48" s="80"/>
      <c r="R48" s="86"/>
      <c r="S48" s="122" t="s">
        <v>639</v>
      </c>
      <c r="T48" s="77" t="s">
        <v>83</v>
      </c>
      <c r="U48" s="78" t="s">
        <v>90</v>
      </c>
      <c r="V48" s="79" t="s">
        <v>141</v>
      </c>
      <c r="W48" s="79" t="s">
        <v>248</v>
      </c>
      <c r="X48" s="79" t="s">
        <v>274</v>
      </c>
      <c r="Y48" s="79" t="s">
        <v>298</v>
      </c>
      <c r="Z48" s="79" t="s">
        <v>373</v>
      </c>
      <c r="AA48" s="79" t="s">
        <v>385</v>
      </c>
      <c r="AB48" s="79" t="s">
        <v>395</v>
      </c>
      <c r="AC48" s="79" t="s">
        <v>407</v>
      </c>
      <c r="AD48" s="79" t="s">
        <v>431</v>
      </c>
      <c r="AE48" s="601" t="s">
        <v>355</v>
      </c>
      <c r="AF48" s="80"/>
    </row>
    <row r="49" spans="1:32" ht="61" thickBot="1" x14ac:dyDescent="0.25">
      <c r="A49" s="87" t="s">
        <v>724</v>
      </c>
      <c r="B49" s="85" t="s">
        <v>731</v>
      </c>
      <c r="C49" s="88" t="s">
        <v>634</v>
      </c>
      <c r="D49" s="85" t="s">
        <v>727</v>
      </c>
      <c r="E49" s="85" t="s">
        <v>732</v>
      </c>
      <c r="F49" s="85" t="s">
        <v>627</v>
      </c>
      <c r="G49" s="85" t="s">
        <v>733</v>
      </c>
      <c r="H49" s="85" t="s">
        <v>734</v>
      </c>
      <c r="I49" s="85" t="s">
        <v>728</v>
      </c>
      <c r="J49" s="85" t="s">
        <v>729</v>
      </c>
      <c r="K49" s="85" t="s">
        <v>334</v>
      </c>
      <c r="L49" s="85" t="s">
        <v>315</v>
      </c>
      <c r="M49" s="85" t="s">
        <v>658</v>
      </c>
      <c r="N49" s="85" t="s">
        <v>323</v>
      </c>
      <c r="O49" s="89" t="s">
        <v>590</v>
      </c>
      <c r="R49" s="87" t="s">
        <v>724</v>
      </c>
      <c r="S49" s="85" t="s">
        <v>731</v>
      </c>
      <c r="T49" s="88" t="s">
        <v>634</v>
      </c>
      <c r="U49" s="85" t="s">
        <v>727</v>
      </c>
      <c r="V49" s="85" t="s">
        <v>732</v>
      </c>
      <c r="W49" s="85" t="s">
        <v>627</v>
      </c>
      <c r="X49" s="85" t="s">
        <v>733</v>
      </c>
      <c r="Y49" s="85" t="s">
        <v>734</v>
      </c>
      <c r="Z49" s="85" t="s">
        <v>728</v>
      </c>
      <c r="AA49" s="85" t="s">
        <v>729</v>
      </c>
      <c r="AB49" s="85" t="s">
        <v>334</v>
      </c>
      <c r="AC49" s="85" t="s">
        <v>315</v>
      </c>
      <c r="AD49" s="85" t="s">
        <v>658</v>
      </c>
      <c r="AE49" s="85" t="s">
        <v>323</v>
      </c>
      <c r="AF49" s="89" t="s">
        <v>590</v>
      </c>
    </row>
    <row r="50" spans="1:32" s="67" customFormat="1" outlineLevel="1" x14ac:dyDescent="0.2">
      <c r="A50" s="235" t="e">
        <f>ROW(#REF!)</f>
        <v>#REF!</v>
      </c>
      <c r="B50" s="236" t="s">
        <v>758</v>
      </c>
      <c r="C50" s="328"/>
      <c r="D50" s="329"/>
      <c r="E50" s="329"/>
      <c r="F50" s="329"/>
      <c r="G50" s="329"/>
      <c r="H50" s="329"/>
      <c r="I50" s="329"/>
      <c r="J50" s="329"/>
      <c r="K50" s="329"/>
      <c r="L50" s="329">
        <v>500</v>
      </c>
      <c r="M50" s="329">
        <v>0</v>
      </c>
      <c r="N50" s="329"/>
      <c r="O50" s="259">
        <v>500</v>
      </c>
      <c r="R50" s="235">
        <f t="shared" ref="R50:R61" si="7">ROW(A1)</f>
        <v>1</v>
      </c>
      <c r="S50" s="236" t="s">
        <v>758</v>
      </c>
      <c r="T50" s="328"/>
      <c r="U50" s="329"/>
      <c r="V50" s="329"/>
      <c r="W50" s="329"/>
      <c r="X50" s="329"/>
      <c r="Y50" s="329"/>
      <c r="Z50" s="329"/>
      <c r="AA50" s="329"/>
      <c r="AB50" s="329"/>
      <c r="AC50" s="329">
        <v>500</v>
      </c>
      <c r="AD50" s="329">
        <v>0</v>
      </c>
      <c r="AE50" s="329"/>
      <c r="AF50" s="259">
        <f>(T50+U50)-(W50+X50+Z50+AB50+145+AD50)</f>
        <v>-145</v>
      </c>
    </row>
    <row r="51" spans="1:32" s="67" customFormat="1" outlineLevel="1" x14ac:dyDescent="0.2">
      <c r="A51" s="235" t="e">
        <f>ROW(#REF!)</f>
        <v>#REF!</v>
      </c>
      <c r="B51" s="236"/>
      <c r="C51" s="237"/>
      <c r="D51" s="238"/>
      <c r="E51" s="238"/>
      <c r="F51" s="238"/>
      <c r="G51" s="238"/>
      <c r="H51" s="238"/>
      <c r="I51" s="238"/>
      <c r="J51" s="238"/>
      <c r="K51" s="238"/>
      <c r="L51" s="238"/>
      <c r="M51" s="238">
        <v>0</v>
      </c>
      <c r="N51" s="238"/>
      <c r="O51" s="243"/>
      <c r="R51" s="235">
        <f t="shared" si="7"/>
        <v>2</v>
      </c>
      <c r="S51" s="236"/>
      <c r="T51" s="237"/>
      <c r="U51" s="238"/>
      <c r="V51" s="238"/>
      <c r="W51" s="238"/>
      <c r="X51" s="238"/>
      <c r="Y51" s="238"/>
      <c r="Z51" s="238"/>
      <c r="AA51" s="238"/>
      <c r="AB51" s="238"/>
      <c r="AC51" s="238"/>
      <c r="AD51" s="238">
        <v>0</v>
      </c>
      <c r="AE51" s="238"/>
      <c r="AF51" s="243">
        <f>(T51+U51)-(W51+X51+Z51+AB51+AC50+AD51)</f>
        <v>-500</v>
      </c>
    </row>
    <row r="52" spans="1:32" s="67" customFormat="1" outlineLevel="1" x14ac:dyDescent="0.2">
      <c r="A52" s="235" t="e">
        <f>ROW(#REF!)</f>
        <v>#REF!</v>
      </c>
      <c r="B52" s="236"/>
      <c r="C52" s="237"/>
      <c r="D52" s="238"/>
      <c r="E52" s="238"/>
      <c r="F52" s="238"/>
      <c r="G52" s="238"/>
      <c r="H52" s="238"/>
      <c r="I52" s="238"/>
      <c r="J52" s="238"/>
      <c r="K52" s="238"/>
      <c r="L52" s="238"/>
      <c r="M52" s="238">
        <v>0</v>
      </c>
      <c r="N52" s="238"/>
      <c r="O52" s="243"/>
      <c r="R52" s="235">
        <f t="shared" si="7"/>
        <v>3</v>
      </c>
      <c r="S52" s="236"/>
      <c r="T52" s="237"/>
      <c r="U52" s="238"/>
      <c r="V52" s="238"/>
      <c r="W52" s="238"/>
      <c r="X52" s="238"/>
      <c r="Y52" s="238"/>
      <c r="Z52" s="238"/>
      <c r="AA52" s="238"/>
      <c r="AB52" s="238"/>
      <c r="AC52" s="238"/>
      <c r="AD52" s="238">
        <v>0</v>
      </c>
      <c r="AE52" s="238"/>
      <c r="AF52" s="243">
        <f>(T52+U52)-(W52+X52+Z52+AB52+AC52+AD52)</f>
        <v>0</v>
      </c>
    </row>
    <row r="53" spans="1:32" s="67" customFormat="1" outlineLevel="1" x14ac:dyDescent="0.2">
      <c r="A53" s="235" t="e">
        <f>ROW(#REF!)</f>
        <v>#REF!</v>
      </c>
      <c r="B53" s="236"/>
      <c r="C53" s="237"/>
      <c r="D53" s="238"/>
      <c r="E53" s="238"/>
      <c r="F53" s="238"/>
      <c r="G53" s="238"/>
      <c r="H53" s="238"/>
      <c r="I53" s="238"/>
      <c r="J53" s="238"/>
      <c r="K53" s="238"/>
      <c r="L53" s="238"/>
      <c r="M53" s="238"/>
      <c r="N53" s="238"/>
      <c r="O53" s="243"/>
      <c r="R53" s="235">
        <f t="shared" si="7"/>
        <v>4</v>
      </c>
      <c r="S53" s="236"/>
      <c r="T53" s="237"/>
      <c r="U53" s="238"/>
      <c r="V53" s="238"/>
      <c r="W53" s="238"/>
      <c r="X53" s="238"/>
      <c r="Y53" s="238"/>
      <c r="Z53" s="238"/>
      <c r="AA53" s="238"/>
      <c r="AB53" s="238"/>
      <c r="AC53" s="238"/>
      <c r="AD53" s="238"/>
      <c r="AE53" s="238"/>
      <c r="AF53" s="243"/>
    </row>
    <row r="54" spans="1:32" s="67" customFormat="1" outlineLevel="1" x14ac:dyDescent="0.2">
      <c r="A54" s="235" t="e">
        <f>ROW(#REF!)</f>
        <v>#REF!</v>
      </c>
      <c r="B54" s="236"/>
      <c r="C54" s="237"/>
      <c r="D54" s="238"/>
      <c r="E54" s="238"/>
      <c r="F54" s="238"/>
      <c r="G54" s="238"/>
      <c r="H54" s="238"/>
      <c r="I54" s="238"/>
      <c r="J54" s="238"/>
      <c r="K54" s="238"/>
      <c r="L54" s="238"/>
      <c r="M54" s="238"/>
      <c r="N54" s="238"/>
      <c r="O54" s="243"/>
      <c r="R54" s="235">
        <f t="shared" si="7"/>
        <v>5</v>
      </c>
      <c r="S54" s="236"/>
      <c r="T54" s="237"/>
      <c r="U54" s="238"/>
      <c r="V54" s="238"/>
      <c r="W54" s="238"/>
      <c r="X54" s="238"/>
      <c r="Y54" s="238"/>
      <c r="Z54" s="238"/>
      <c r="AA54" s="238"/>
      <c r="AB54" s="238"/>
      <c r="AC54" s="238"/>
      <c r="AD54" s="238"/>
      <c r="AE54" s="238"/>
      <c r="AF54" s="243"/>
    </row>
    <row r="55" spans="1:32" s="67" customFormat="1" outlineLevel="1" x14ac:dyDescent="0.2">
      <c r="A55" s="235" t="e">
        <f>ROW(#REF!)</f>
        <v>#REF!</v>
      </c>
      <c r="B55" s="236"/>
      <c r="C55" s="237"/>
      <c r="D55" s="238"/>
      <c r="E55" s="238"/>
      <c r="F55" s="238"/>
      <c r="G55" s="238"/>
      <c r="H55" s="238"/>
      <c r="I55" s="238"/>
      <c r="J55" s="238"/>
      <c r="K55" s="238"/>
      <c r="L55" s="238"/>
      <c r="M55" s="238"/>
      <c r="N55" s="238"/>
      <c r="O55" s="243"/>
      <c r="R55" s="235">
        <f t="shared" si="7"/>
        <v>6</v>
      </c>
      <c r="S55" s="236"/>
      <c r="T55" s="237"/>
      <c r="U55" s="238"/>
      <c r="V55" s="238"/>
      <c r="W55" s="238"/>
      <c r="X55" s="238"/>
      <c r="Y55" s="238"/>
      <c r="Z55" s="238"/>
      <c r="AA55" s="238"/>
      <c r="AB55" s="238"/>
      <c r="AC55" s="238"/>
      <c r="AD55" s="238"/>
      <c r="AE55" s="238"/>
      <c r="AF55" s="243"/>
    </row>
    <row r="56" spans="1:32" s="67" customFormat="1" outlineLevel="1" x14ac:dyDescent="0.2">
      <c r="A56" s="235" t="e">
        <f>ROW(#REF!)</f>
        <v>#REF!</v>
      </c>
      <c r="B56" s="236"/>
      <c r="C56" s="237"/>
      <c r="D56" s="238"/>
      <c r="E56" s="238"/>
      <c r="F56" s="238"/>
      <c r="G56" s="238"/>
      <c r="H56" s="238"/>
      <c r="I56" s="238"/>
      <c r="J56" s="238"/>
      <c r="K56" s="238"/>
      <c r="L56" s="238"/>
      <c r="M56" s="238"/>
      <c r="N56" s="238"/>
      <c r="O56" s="243"/>
      <c r="R56" s="235">
        <f t="shared" si="7"/>
        <v>7</v>
      </c>
      <c r="S56" s="236"/>
      <c r="T56" s="237"/>
      <c r="U56" s="238"/>
      <c r="V56" s="238"/>
      <c r="W56" s="238"/>
      <c r="X56" s="238"/>
      <c r="Y56" s="238"/>
      <c r="Z56" s="238"/>
      <c r="AA56" s="238"/>
      <c r="AB56" s="238"/>
      <c r="AC56" s="238"/>
      <c r="AD56" s="238"/>
      <c r="AE56" s="238"/>
      <c r="AF56" s="243"/>
    </row>
    <row r="57" spans="1:32" s="67" customFormat="1" outlineLevel="1" x14ac:dyDescent="0.2">
      <c r="A57" s="235" t="e">
        <f>ROW(#REF!)</f>
        <v>#REF!</v>
      </c>
      <c r="B57" s="236"/>
      <c r="C57" s="237"/>
      <c r="D57" s="238"/>
      <c r="E57" s="238"/>
      <c r="F57" s="238"/>
      <c r="G57" s="238"/>
      <c r="H57" s="238"/>
      <c r="I57" s="238"/>
      <c r="J57" s="238"/>
      <c r="K57" s="238"/>
      <c r="L57" s="238"/>
      <c r="M57" s="238"/>
      <c r="N57" s="238"/>
      <c r="O57" s="243"/>
      <c r="R57" s="235">
        <f t="shared" si="7"/>
        <v>8</v>
      </c>
      <c r="S57" s="236"/>
      <c r="T57" s="237"/>
      <c r="U57" s="238"/>
      <c r="V57" s="238"/>
      <c r="W57" s="238"/>
      <c r="X57" s="238"/>
      <c r="Y57" s="238"/>
      <c r="Z57" s="238"/>
      <c r="AA57" s="238"/>
      <c r="AB57" s="238"/>
      <c r="AC57" s="238"/>
      <c r="AD57" s="238"/>
      <c r="AE57" s="238"/>
      <c r="AF57" s="243"/>
    </row>
    <row r="58" spans="1:32" s="67" customFormat="1" outlineLevel="1" x14ac:dyDescent="0.2">
      <c r="A58" s="235" t="e">
        <f>ROW(#REF!)</f>
        <v>#REF!</v>
      </c>
      <c r="B58" s="236"/>
      <c r="C58" s="237"/>
      <c r="D58" s="238"/>
      <c r="E58" s="238"/>
      <c r="F58" s="238"/>
      <c r="G58" s="238"/>
      <c r="H58" s="238"/>
      <c r="I58" s="238"/>
      <c r="J58" s="238"/>
      <c r="K58" s="238"/>
      <c r="L58" s="238"/>
      <c r="M58" s="238"/>
      <c r="N58" s="238"/>
      <c r="O58" s="243"/>
      <c r="R58" s="235">
        <f t="shared" si="7"/>
        <v>9</v>
      </c>
      <c r="S58" s="236"/>
      <c r="T58" s="237"/>
      <c r="U58" s="238"/>
      <c r="V58" s="238"/>
      <c r="W58" s="238"/>
      <c r="X58" s="238"/>
      <c r="Y58" s="238"/>
      <c r="Z58" s="238"/>
      <c r="AA58" s="238"/>
      <c r="AB58" s="238"/>
      <c r="AC58" s="238"/>
      <c r="AD58" s="238"/>
      <c r="AE58" s="238"/>
      <c r="AF58" s="243"/>
    </row>
    <row r="59" spans="1:32" s="67" customFormat="1" outlineLevel="1" x14ac:dyDescent="0.2">
      <c r="A59" s="235" t="e">
        <f>ROW(#REF!)</f>
        <v>#REF!</v>
      </c>
      <c r="B59" s="236"/>
      <c r="C59" s="237"/>
      <c r="D59" s="238"/>
      <c r="E59" s="238"/>
      <c r="F59" s="238"/>
      <c r="G59" s="238"/>
      <c r="H59" s="238"/>
      <c r="I59" s="238"/>
      <c r="J59" s="238"/>
      <c r="K59" s="238"/>
      <c r="L59" s="238"/>
      <c r="M59" s="238"/>
      <c r="N59" s="238"/>
      <c r="O59" s="243"/>
      <c r="R59" s="235">
        <f t="shared" si="7"/>
        <v>10</v>
      </c>
      <c r="S59" s="236"/>
      <c r="T59" s="237"/>
      <c r="U59" s="238"/>
      <c r="V59" s="238"/>
      <c r="W59" s="238"/>
      <c r="X59" s="238"/>
      <c r="Y59" s="238"/>
      <c r="Z59" s="238"/>
      <c r="AA59" s="238"/>
      <c r="AB59" s="238"/>
      <c r="AC59" s="238"/>
      <c r="AD59" s="238"/>
      <c r="AE59" s="238"/>
      <c r="AF59" s="243"/>
    </row>
    <row r="60" spans="1:32" s="67" customFormat="1" outlineLevel="1" x14ac:dyDescent="0.2">
      <c r="A60" s="235" t="e">
        <f>ROW(#REF!)</f>
        <v>#REF!</v>
      </c>
      <c r="B60" s="236"/>
      <c r="C60" s="237"/>
      <c r="D60" s="238"/>
      <c r="E60" s="238"/>
      <c r="F60" s="238"/>
      <c r="G60" s="238"/>
      <c r="H60" s="238"/>
      <c r="I60" s="238"/>
      <c r="J60" s="238"/>
      <c r="K60" s="238"/>
      <c r="L60" s="238"/>
      <c r="M60" s="238"/>
      <c r="N60" s="238"/>
      <c r="O60" s="243"/>
      <c r="R60" s="235">
        <f t="shared" si="7"/>
        <v>11</v>
      </c>
      <c r="S60" s="236"/>
      <c r="T60" s="237"/>
      <c r="U60" s="238"/>
      <c r="V60" s="238"/>
      <c r="W60" s="238"/>
      <c r="X60" s="238"/>
      <c r="Y60" s="238"/>
      <c r="Z60" s="238"/>
      <c r="AA60" s="238"/>
      <c r="AB60" s="238"/>
      <c r="AC60" s="238"/>
      <c r="AD60" s="238"/>
      <c r="AE60" s="238"/>
      <c r="AF60" s="243"/>
    </row>
    <row r="61" spans="1:32" s="67" customFormat="1" ht="16" outlineLevel="1" thickBot="1" x14ac:dyDescent="0.25">
      <c r="A61" s="235" t="e">
        <f>ROW(#REF!)</f>
        <v>#REF!</v>
      </c>
      <c r="B61" s="240" t="s">
        <v>589</v>
      </c>
      <c r="C61" s="246">
        <v>0</v>
      </c>
      <c r="D61" s="247">
        <v>0</v>
      </c>
      <c r="E61" s="247">
        <v>50</v>
      </c>
      <c r="F61" s="247">
        <v>300</v>
      </c>
      <c r="G61" s="247">
        <v>0</v>
      </c>
      <c r="H61" s="247">
        <v>0</v>
      </c>
      <c r="I61" s="247">
        <v>0</v>
      </c>
      <c r="J61" s="247">
        <v>0</v>
      </c>
      <c r="K61" s="247">
        <v>0</v>
      </c>
      <c r="L61" s="247">
        <v>500</v>
      </c>
      <c r="M61" s="247">
        <v>500</v>
      </c>
      <c r="N61" s="602">
        <v>0</v>
      </c>
      <c r="O61" s="602">
        <v>2000</v>
      </c>
      <c r="R61" s="235">
        <f t="shared" si="7"/>
        <v>12</v>
      </c>
      <c r="S61" s="240" t="s">
        <v>589</v>
      </c>
      <c r="T61" s="246">
        <v>0</v>
      </c>
      <c r="U61" s="247">
        <v>0</v>
      </c>
      <c r="V61" s="113">
        <v>500</v>
      </c>
      <c r="W61" s="113">
        <v>300</v>
      </c>
      <c r="X61" s="113">
        <v>200</v>
      </c>
      <c r="Y61" s="113">
        <v>200</v>
      </c>
      <c r="Z61" s="113">
        <v>300</v>
      </c>
      <c r="AA61" s="113">
        <v>100</v>
      </c>
      <c r="AB61" s="113">
        <v>200</v>
      </c>
      <c r="AC61" s="113">
        <v>500</v>
      </c>
      <c r="AD61" s="113">
        <v>500</v>
      </c>
      <c r="AE61" s="602">
        <v>2000</v>
      </c>
      <c r="AF61" s="602">
        <v>2000</v>
      </c>
    </row>
    <row r="62" spans="1:32" ht="23.25" customHeight="1" thickBot="1" x14ac:dyDescent="0.25">
      <c r="A62" s="92"/>
      <c r="B62" s="93" t="s">
        <v>680</v>
      </c>
      <c r="C62" s="248">
        <f>SUBTOTAL(9,Tabelle5132454[Teilnahmebeiträge Veranstaltungen])</f>
        <v>0</v>
      </c>
      <c r="D62" s="333">
        <f>SUBTOTAL(9,Tabelle5132454[Sonstige Einnahmen])</f>
        <v>0</v>
      </c>
      <c r="E62" s="334">
        <f>SUBTOTAL(9,Tabelle5132454[Aufwandsentschädigungen])</f>
        <v>50</v>
      </c>
      <c r="F62" s="334">
        <f>SUBTOTAL(9,Tabelle5132454[Interne Reisekosten])</f>
        <v>300</v>
      </c>
      <c r="G62" s="334">
        <f>SUBTOTAL(9,Tabelle5132454[Raum + Unterkunft intern])</f>
        <v>0</v>
      </c>
      <c r="H62" s="334">
        <f>SUBTOTAL(9,Tabelle5132454[Repräsentation/Bewirtung intern])</f>
        <v>0</v>
      </c>
      <c r="I62" s="334">
        <f>SUBTOTAL(9,Tabelle5132454[Repräsentation/Bewirtung extern])</f>
        <v>0</v>
      </c>
      <c r="J62" s="334">
        <f>SUBTOTAL(9,Tabelle5132454[Raum + Unterkunft extern])</f>
        <v>0</v>
      </c>
      <c r="K62" s="334">
        <f>SUBTOTAL(9,Tabelle5132454[Druckkosten])</f>
        <v>0</v>
      </c>
      <c r="L62" s="334">
        <f>SUBTOTAL(9,Tabelle5132454[Sonstige Kosten])</f>
        <v>1000</v>
      </c>
      <c r="M62" s="334">
        <f>SUBTOTAL(9,Tabelle5132454[Rechtsangelegenheiten])</f>
        <v>500</v>
      </c>
      <c r="N62" s="334">
        <f>SUBTOTAL(109,Tabelle5132454[Andere Honorare])</f>
        <v>0</v>
      </c>
      <c r="O62" s="617">
        <f>SUBTOTAL(9,Tabelle5132454[Gesamt])</f>
        <v>2500</v>
      </c>
      <c r="R62" s="92"/>
      <c r="S62" s="93" t="s">
        <v>680</v>
      </c>
      <c r="T62" s="248">
        <f>SUBTOTAL(9,Tabelle51324[Teilnahmebeiträge Veranstaltungen])</f>
        <v>0</v>
      </c>
      <c r="U62" s="333">
        <f>SUBTOTAL(9,Tabelle51324[Sonstige Einnahmen])</f>
        <v>0</v>
      </c>
      <c r="V62" s="334">
        <f>SUBTOTAL(9,Tabelle51324[Aufwandsentschädigungen])</f>
        <v>500</v>
      </c>
      <c r="W62" s="334">
        <f>SUBTOTAL(9,Tabelle51324[Interne Reisekosten])</f>
        <v>300</v>
      </c>
      <c r="X62" s="334">
        <f>SUBTOTAL(9,Tabelle51324[Raum + Unterkunft intern])</f>
        <v>200</v>
      </c>
      <c r="Y62" s="334">
        <f>SUBTOTAL(9,Tabelle51324[Repräsentation/Bewirtung intern])</f>
        <v>200</v>
      </c>
      <c r="Z62" s="334">
        <f>SUBTOTAL(9,Tabelle51324[Repräsentation/Bewirtung extern])</f>
        <v>300</v>
      </c>
      <c r="AA62" s="334">
        <f>SUBTOTAL(9,Tabelle51324[Raum + Unterkunft extern])</f>
        <v>100</v>
      </c>
      <c r="AB62" s="334">
        <f>SUBTOTAL(9,Tabelle51324[Druckkosten])</f>
        <v>200</v>
      </c>
      <c r="AC62" s="334">
        <f>SUBTOTAL(9,Tabelle51324[Sonstige Kosten])</f>
        <v>1000</v>
      </c>
      <c r="AD62" s="334">
        <f>SUBTOTAL(9,Tabelle51324[Rechtsangelegenheiten])</f>
        <v>500</v>
      </c>
      <c r="AE62" s="334">
        <f>SUBTOTAL(109,Tabelle51324[Andere Honorare])</f>
        <v>2000</v>
      </c>
      <c r="AF62" s="617">
        <f>SUBTOTAL(9,Tabelle51324[Gesamt])</f>
        <v>1355</v>
      </c>
    </row>
    <row r="63" spans="1:32" ht="19" x14ac:dyDescent="0.25">
      <c r="A63" s="11"/>
      <c r="R63" s="11"/>
    </row>
    <row r="64" spans="1:32" ht="16" x14ac:dyDescent="0.2">
      <c r="A64" s="7"/>
      <c r="B64" s="7" t="s">
        <v>739</v>
      </c>
      <c r="D64" s="6" t="s">
        <v>723</v>
      </c>
      <c r="R64" s="7"/>
      <c r="S64" s="7" t="s">
        <v>739</v>
      </c>
      <c r="U64" s="6" t="s">
        <v>723</v>
      </c>
    </row>
    <row r="65" spans="1:26" ht="20" thickBot="1" x14ac:dyDescent="0.3">
      <c r="A65" s="11"/>
      <c r="R65" s="11"/>
    </row>
    <row r="66" spans="1:26" ht="17" thickTop="1" thickBot="1" x14ac:dyDescent="0.25">
      <c r="A66" s="94"/>
      <c r="B66" s="120"/>
      <c r="C66" s="121"/>
      <c r="D66" s="124" t="s">
        <v>639</v>
      </c>
      <c r="E66" s="95" t="s">
        <v>136</v>
      </c>
      <c r="F66" s="96" t="s">
        <v>244</v>
      </c>
      <c r="G66" s="96" t="s">
        <v>268</v>
      </c>
      <c r="H66" s="96" t="s">
        <v>294</v>
      </c>
      <c r="I66" s="97"/>
      <c r="R66" s="94"/>
      <c r="S66" s="120"/>
      <c r="T66" s="121"/>
      <c r="U66" s="124" t="s">
        <v>639</v>
      </c>
      <c r="V66" s="95" t="s">
        <v>136</v>
      </c>
      <c r="W66" s="96" t="s">
        <v>244</v>
      </c>
      <c r="X66" s="96" t="s">
        <v>268</v>
      </c>
      <c r="Y66" s="96" t="s">
        <v>294</v>
      </c>
      <c r="Z66" s="97"/>
    </row>
    <row r="67" spans="1:26" ht="46" thickBot="1" x14ac:dyDescent="0.25">
      <c r="A67" s="98" t="s">
        <v>740</v>
      </c>
      <c r="B67" s="98" t="s">
        <v>741</v>
      </c>
      <c r="C67" s="123" t="s">
        <v>742</v>
      </c>
      <c r="D67" s="98" t="s">
        <v>543</v>
      </c>
      <c r="E67" s="322" t="s">
        <v>732</v>
      </c>
      <c r="F67" s="323" t="s">
        <v>627</v>
      </c>
      <c r="G67" s="323" t="s">
        <v>733</v>
      </c>
      <c r="H67" s="323" t="s">
        <v>734</v>
      </c>
      <c r="I67" s="324" t="s">
        <v>590</v>
      </c>
      <c r="R67" s="98" t="s">
        <v>740</v>
      </c>
      <c r="S67" s="98" t="s">
        <v>741</v>
      </c>
      <c r="T67" s="123" t="s">
        <v>742</v>
      </c>
      <c r="U67" s="98" t="s">
        <v>543</v>
      </c>
      <c r="V67" s="322" t="s">
        <v>732</v>
      </c>
      <c r="W67" s="323" t="s">
        <v>627</v>
      </c>
      <c r="X67" s="323" t="s">
        <v>733</v>
      </c>
      <c r="Y67" s="323" t="s">
        <v>734</v>
      </c>
      <c r="Z67" s="324" t="s">
        <v>590</v>
      </c>
    </row>
    <row r="68" spans="1:26" s="67" customFormat="1" ht="46" outlineLevel="1" thickBot="1" x14ac:dyDescent="0.25">
      <c r="A68" s="239" t="e">
        <f>ROW(#REF!)</f>
        <v>#REF!</v>
      </c>
      <c r="B68" s="272" t="s">
        <v>1216</v>
      </c>
      <c r="C68" s="84"/>
      <c r="D68" s="272" t="s">
        <v>754</v>
      </c>
      <c r="E68" s="330"/>
      <c r="F68" s="264"/>
      <c r="G68" s="264"/>
      <c r="H68" s="264"/>
      <c r="I68" s="259">
        <f>SUM(E68:H68)</f>
        <v>0</v>
      </c>
      <c r="R68" s="239">
        <f t="shared" ref="R68:R84" si="8">ROW(A1)</f>
        <v>1</v>
      </c>
      <c r="S68" s="272" t="s">
        <v>1216</v>
      </c>
      <c r="T68" s="84"/>
      <c r="U68" s="272" t="s">
        <v>754</v>
      </c>
      <c r="V68" s="330"/>
      <c r="W68" s="264"/>
      <c r="X68" s="264"/>
      <c r="Y68" s="264"/>
      <c r="Z68" s="259">
        <f>SUM(V68:Y68)</f>
        <v>0</v>
      </c>
    </row>
    <row r="69" spans="1:26" s="67" customFormat="1" outlineLevel="1" x14ac:dyDescent="0.2">
      <c r="A69" s="239" t="e">
        <f>ROW(#REF!)</f>
        <v>#REF!</v>
      </c>
      <c r="B69" s="236" t="s">
        <v>753</v>
      </c>
      <c r="C69" s="239"/>
      <c r="D69" s="239" t="s">
        <v>754</v>
      </c>
      <c r="E69" s="328">
        <v>300</v>
      </c>
      <c r="F69" s="329">
        <v>0</v>
      </c>
      <c r="G69" s="329">
        <v>0</v>
      </c>
      <c r="H69" s="329">
        <v>0</v>
      </c>
      <c r="I69" s="243">
        <f>SUM(E69:H69)</f>
        <v>300</v>
      </c>
      <c r="R69" s="239">
        <f t="shared" si="8"/>
        <v>2</v>
      </c>
      <c r="S69" s="236" t="s">
        <v>753</v>
      </c>
      <c r="T69" s="239"/>
      <c r="U69" s="239" t="s">
        <v>754</v>
      </c>
      <c r="V69" s="237">
        <f>5*20+2*40</f>
        <v>180</v>
      </c>
      <c r="W69" s="238">
        <v>0</v>
      </c>
      <c r="X69" s="238">
        <v>0</v>
      </c>
      <c r="Y69" s="238">
        <v>0</v>
      </c>
      <c r="Z69" s="243">
        <f>SUM(V69:Y69)</f>
        <v>180</v>
      </c>
    </row>
    <row r="70" spans="1:26" s="67" customFormat="1" outlineLevel="1" x14ac:dyDescent="0.2">
      <c r="A70" s="239" t="e">
        <f>ROW(#REF!)</f>
        <v>#REF!</v>
      </c>
      <c r="B70" s="236" t="s">
        <v>753</v>
      </c>
      <c r="C70" s="239"/>
      <c r="D70" s="239" t="s">
        <v>754</v>
      </c>
      <c r="E70" s="237">
        <v>300</v>
      </c>
      <c r="F70" s="238">
        <v>0</v>
      </c>
      <c r="G70" s="238">
        <v>0</v>
      </c>
      <c r="H70" s="238">
        <v>0</v>
      </c>
      <c r="I70" s="243">
        <f>SUM(E70:H70)</f>
        <v>300</v>
      </c>
      <c r="R70" s="239">
        <f t="shared" si="8"/>
        <v>3</v>
      </c>
      <c r="S70" s="236" t="s">
        <v>753</v>
      </c>
      <c r="T70" s="239"/>
      <c r="U70" s="239" t="s">
        <v>754</v>
      </c>
      <c r="V70" s="237">
        <f>5*20+2*40</f>
        <v>180</v>
      </c>
      <c r="W70" s="238">
        <v>0</v>
      </c>
      <c r="X70" s="238">
        <v>0</v>
      </c>
      <c r="Y70" s="238">
        <v>0</v>
      </c>
      <c r="Z70" s="243">
        <f>SUM(V70:Y70)</f>
        <v>180</v>
      </c>
    </row>
    <row r="71" spans="1:26" s="67" customFormat="1" ht="30" outlineLevel="1" x14ac:dyDescent="0.2">
      <c r="A71" s="239" t="e">
        <f>ROW(#REF!)</f>
        <v>#REF!</v>
      </c>
      <c r="B71" s="251" t="s">
        <v>759</v>
      </c>
      <c r="C71" s="239"/>
      <c r="D71" s="239" t="s">
        <v>754</v>
      </c>
      <c r="E71" s="237">
        <v>400</v>
      </c>
      <c r="F71" s="238">
        <v>0</v>
      </c>
      <c r="G71" s="238">
        <v>0</v>
      </c>
      <c r="H71" s="238">
        <v>0</v>
      </c>
      <c r="I71" s="243">
        <f>SUM(E71:H71)</f>
        <v>400</v>
      </c>
      <c r="R71" s="239">
        <f t="shared" si="8"/>
        <v>4</v>
      </c>
      <c r="S71" s="251" t="s">
        <v>759</v>
      </c>
      <c r="T71" s="239"/>
      <c r="U71" s="239" t="s">
        <v>754</v>
      </c>
      <c r="V71" s="237">
        <v>400</v>
      </c>
      <c r="W71" s="238">
        <v>0</v>
      </c>
      <c r="X71" s="238">
        <v>0</v>
      </c>
      <c r="Y71" s="238">
        <v>0</v>
      </c>
      <c r="Z71" s="243">
        <f>SUM(V71:Y71)</f>
        <v>400</v>
      </c>
    </row>
    <row r="72" spans="1:26" s="67" customFormat="1" outlineLevel="1" x14ac:dyDescent="0.2">
      <c r="A72" s="239" t="e">
        <f>ROW(#REF!)</f>
        <v>#REF!</v>
      </c>
      <c r="B72" s="236" t="s">
        <v>753</v>
      </c>
      <c r="C72" s="239"/>
      <c r="D72" s="239" t="s">
        <v>754</v>
      </c>
      <c r="E72" s="237">
        <v>300</v>
      </c>
      <c r="F72" s="238">
        <v>0</v>
      </c>
      <c r="G72" s="238">
        <v>0</v>
      </c>
      <c r="H72" s="238">
        <v>0</v>
      </c>
      <c r="I72" s="243">
        <f t="shared" ref="I72:I76" si="9">SUM(E72:H72)</f>
        <v>300</v>
      </c>
      <c r="R72" s="239">
        <f t="shared" si="8"/>
        <v>5</v>
      </c>
      <c r="S72" s="236" t="s">
        <v>753</v>
      </c>
      <c r="T72" s="239"/>
      <c r="U72" s="239" t="s">
        <v>754</v>
      </c>
      <c r="V72" s="237">
        <f>5*20+2*40</f>
        <v>180</v>
      </c>
      <c r="W72" s="238">
        <v>0</v>
      </c>
      <c r="X72" s="238">
        <v>0</v>
      </c>
      <c r="Y72" s="238">
        <v>0</v>
      </c>
      <c r="Z72" s="243">
        <f t="shared" ref="Z72:Z75" si="10">SUM(V72:Y72)</f>
        <v>180</v>
      </c>
    </row>
    <row r="73" spans="1:26" s="67" customFormat="1" outlineLevel="1" x14ac:dyDescent="0.2">
      <c r="A73" s="239" t="e">
        <f>ROW(#REF!)</f>
        <v>#REF!</v>
      </c>
      <c r="B73" s="236" t="s">
        <v>753</v>
      </c>
      <c r="C73" s="239"/>
      <c r="D73" s="239" t="s">
        <v>754</v>
      </c>
      <c r="E73" s="237">
        <v>300</v>
      </c>
      <c r="F73" s="238">
        <v>0</v>
      </c>
      <c r="G73" s="238"/>
      <c r="H73" s="238">
        <v>0</v>
      </c>
      <c r="I73" s="243">
        <f t="shared" si="9"/>
        <v>300</v>
      </c>
      <c r="R73" s="239">
        <f t="shared" si="8"/>
        <v>6</v>
      </c>
      <c r="S73" s="236" t="s">
        <v>753</v>
      </c>
      <c r="T73" s="239"/>
      <c r="U73" s="239" t="s">
        <v>754</v>
      </c>
      <c r="V73" s="237">
        <f>5*20+2*40</f>
        <v>180</v>
      </c>
      <c r="W73" s="238">
        <v>0</v>
      </c>
      <c r="X73" s="238"/>
      <c r="Y73" s="238">
        <v>0</v>
      </c>
      <c r="Z73" s="243">
        <f t="shared" si="10"/>
        <v>180</v>
      </c>
    </row>
    <row r="74" spans="1:26" s="67" customFormat="1" outlineLevel="1" x14ac:dyDescent="0.2">
      <c r="A74" s="239" t="e">
        <f>ROW(#REF!)</f>
        <v>#REF!</v>
      </c>
      <c r="B74" s="236" t="s">
        <v>753</v>
      </c>
      <c r="C74" s="239"/>
      <c r="D74" s="239" t="s">
        <v>748</v>
      </c>
      <c r="E74" s="237">
        <v>700</v>
      </c>
      <c r="F74" s="238">
        <v>800</v>
      </c>
      <c r="G74" s="238">
        <v>300</v>
      </c>
      <c r="H74" s="238">
        <v>50</v>
      </c>
      <c r="I74" s="243">
        <f t="shared" si="9"/>
        <v>1850</v>
      </c>
      <c r="R74" s="239">
        <f t="shared" si="8"/>
        <v>7</v>
      </c>
      <c r="S74" s="236" t="s">
        <v>753</v>
      </c>
      <c r="T74" s="239"/>
      <c r="U74" s="239" t="s">
        <v>748</v>
      </c>
      <c r="V74" s="237">
        <v>700</v>
      </c>
      <c r="W74" s="238">
        <v>800</v>
      </c>
      <c r="X74" s="238">
        <v>300</v>
      </c>
      <c r="Y74" s="238">
        <v>50</v>
      </c>
      <c r="Z74" s="243">
        <f t="shared" si="10"/>
        <v>1850</v>
      </c>
    </row>
    <row r="75" spans="1:26" s="67" customFormat="1" outlineLevel="1" x14ac:dyDescent="0.2">
      <c r="A75" s="239" t="e">
        <f>ROW(#REF!)</f>
        <v>#REF!</v>
      </c>
      <c r="B75" s="236" t="s">
        <v>753</v>
      </c>
      <c r="C75" s="239"/>
      <c r="D75" s="239" t="s">
        <v>754</v>
      </c>
      <c r="E75" s="237">
        <v>300</v>
      </c>
      <c r="F75" s="238"/>
      <c r="G75" s="238"/>
      <c r="H75" s="238"/>
      <c r="I75" s="243">
        <f t="shared" si="9"/>
        <v>300</v>
      </c>
      <c r="R75" s="239">
        <f t="shared" si="8"/>
        <v>8</v>
      </c>
      <c r="S75" s="236" t="s">
        <v>753</v>
      </c>
      <c r="T75" s="239"/>
      <c r="U75" s="239" t="s">
        <v>754</v>
      </c>
      <c r="V75" s="237">
        <f>5*20+2*40</f>
        <v>180</v>
      </c>
      <c r="W75" s="238"/>
      <c r="X75" s="238"/>
      <c r="Y75" s="238"/>
      <c r="Z75" s="243">
        <f t="shared" si="10"/>
        <v>180</v>
      </c>
    </row>
    <row r="76" spans="1:26" s="67" customFormat="1" outlineLevel="1" x14ac:dyDescent="0.2">
      <c r="A76" s="239" t="e">
        <f>ROW(#REF!)</f>
        <v>#REF!</v>
      </c>
      <c r="B76" s="236" t="s">
        <v>760</v>
      </c>
      <c r="C76" s="239"/>
      <c r="D76" s="239" t="s">
        <v>748</v>
      </c>
      <c r="E76" s="237">
        <v>1000</v>
      </c>
      <c r="F76" s="238">
        <v>500</v>
      </c>
      <c r="G76" s="238">
        <v>600</v>
      </c>
      <c r="H76" s="238">
        <v>100</v>
      </c>
      <c r="I76" s="243">
        <f t="shared" si="9"/>
        <v>2200</v>
      </c>
      <c r="R76" s="239">
        <f t="shared" si="8"/>
        <v>9</v>
      </c>
      <c r="S76" s="236" t="s">
        <v>760</v>
      </c>
      <c r="T76" s="239"/>
      <c r="U76" s="239" t="s">
        <v>748</v>
      </c>
      <c r="V76" s="237">
        <v>1000</v>
      </c>
      <c r="W76" s="238">
        <v>500</v>
      </c>
      <c r="X76" s="238">
        <v>600</v>
      </c>
      <c r="Y76" s="238">
        <v>100</v>
      </c>
      <c r="Z76" s="243"/>
    </row>
    <row r="77" spans="1:26" s="67" customFormat="1" outlineLevel="1" x14ac:dyDescent="0.2">
      <c r="A77" s="239" t="e">
        <f>ROW(#REF!)</f>
        <v>#REF!</v>
      </c>
      <c r="B77" s="236"/>
      <c r="C77" s="239"/>
      <c r="D77" s="239"/>
      <c r="E77" s="237"/>
      <c r="F77" s="238"/>
      <c r="G77" s="238"/>
      <c r="H77" s="238"/>
      <c r="I77" s="243"/>
      <c r="R77" s="239">
        <f t="shared" si="8"/>
        <v>10</v>
      </c>
      <c r="S77" s="236"/>
      <c r="T77" s="239"/>
      <c r="U77" s="239"/>
      <c r="V77" s="237"/>
      <c r="W77" s="238"/>
      <c r="X77" s="238"/>
      <c r="Y77" s="238"/>
      <c r="Z77" s="243"/>
    </row>
    <row r="78" spans="1:26" s="67" customFormat="1" outlineLevel="1" x14ac:dyDescent="0.2">
      <c r="A78" s="239" t="e">
        <f>ROW(#REF!)</f>
        <v>#REF!</v>
      </c>
      <c r="B78" s="236"/>
      <c r="C78" s="239"/>
      <c r="D78" s="239"/>
      <c r="E78" s="237"/>
      <c r="F78" s="238"/>
      <c r="G78" s="238"/>
      <c r="H78" s="238"/>
      <c r="I78" s="243"/>
      <c r="R78" s="239">
        <f t="shared" si="8"/>
        <v>11</v>
      </c>
      <c r="S78" s="236"/>
      <c r="T78" s="239"/>
      <c r="U78" s="239"/>
      <c r="V78" s="237"/>
      <c r="W78" s="238"/>
      <c r="X78" s="238"/>
      <c r="Y78" s="238"/>
      <c r="Z78" s="243"/>
    </row>
    <row r="79" spans="1:26" s="67" customFormat="1" outlineLevel="1" x14ac:dyDescent="0.2">
      <c r="A79" s="239" t="e">
        <f>ROW(#REF!)</f>
        <v>#REF!</v>
      </c>
      <c r="B79" s="236"/>
      <c r="C79" s="239"/>
      <c r="D79" s="239"/>
      <c r="E79" s="237"/>
      <c r="F79" s="238"/>
      <c r="G79" s="238"/>
      <c r="H79" s="238"/>
      <c r="I79" s="243"/>
      <c r="R79" s="239">
        <f t="shared" si="8"/>
        <v>12</v>
      </c>
      <c r="S79" s="236"/>
      <c r="T79" s="239"/>
      <c r="U79" s="239"/>
      <c r="V79" s="237"/>
      <c r="W79" s="238"/>
      <c r="X79" s="238"/>
      <c r="Y79" s="238"/>
      <c r="Z79" s="243"/>
    </row>
    <row r="80" spans="1:26" s="67" customFormat="1" outlineLevel="1" x14ac:dyDescent="0.2">
      <c r="A80" s="239" t="e">
        <f>ROW(#REF!)</f>
        <v>#REF!</v>
      </c>
      <c r="B80" s="236"/>
      <c r="C80" s="239"/>
      <c r="D80" s="239"/>
      <c r="E80" s="237"/>
      <c r="F80" s="238"/>
      <c r="G80" s="238"/>
      <c r="H80" s="238"/>
      <c r="I80" s="243"/>
      <c r="R80" s="239">
        <f t="shared" si="8"/>
        <v>13</v>
      </c>
      <c r="S80" s="236"/>
      <c r="T80" s="239"/>
      <c r="U80" s="239"/>
      <c r="V80" s="237"/>
      <c r="W80" s="238"/>
      <c r="X80" s="238"/>
      <c r="Y80" s="238"/>
      <c r="Z80" s="243"/>
    </row>
    <row r="81" spans="1:26" s="67" customFormat="1" outlineLevel="1" x14ac:dyDescent="0.2">
      <c r="A81" s="239" t="e">
        <f>ROW(#REF!)</f>
        <v>#REF!</v>
      </c>
      <c r="B81" s="236"/>
      <c r="C81" s="239"/>
      <c r="D81" s="239"/>
      <c r="E81" s="237"/>
      <c r="F81" s="238"/>
      <c r="G81" s="238"/>
      <c r="H81" s="238"/>
      <c r="I81" s="243">
        <f>SUM(E81:H81)</f>
        <v>0</v>
      </c>
      <c r="R81" s="239">
        <f t="shared" si="8"/>
        <v>14</v>
      </c>
      <c r="S81" s="236"/>
      <c r="T81" s="239"/>
      <c r="U81" s="239"/>
      <c r="V81" s="237"/>
      <c r="W81" s="238"/>
      <c r="X81" s="238"/>
      <c r="Y81" s="238"/>
      <c r="Z81" s="243">
        <f>SUM(V81:Y81)</f>
        <v>0</v>
      </c>
    </row>
    <row r="82" spans="1:26" s="67" customFormat="1" outlineLevel="1" x14ac:dyDescent="0.2">
      <c r="A82" s="239" t="e">
        <f>ROW(#REF!)</f>
        <v>#REF!</v>
      </c>
      <c r="B82" s="236"/>
      <c r="C82" s="239"/>
      <c r="D82" s="239"/>
      <c r="E82" s="237"/>
      <c r="F82" s="238"/>
      <c r="G82" s="238"/>
      <c r="H82" s="238"/>
      <c r="I82" s="243">
        <f t="shared" ref="I82:I83" si="11">SUM(E82:H82)</f>
        <v>0</v>
      </c>
      <c r="R82" s="239">
        <f t="shared" si="8"/>
        <v>15</v>
      </c>
      <c r="S82" s="236"/>
      <c r="T82" s="239"/>
      <c r="U82" s="239"/>
      <c r="V82" s="237"/>
      <c r="W82" s="238"/>
      <c r="X82" s="238"/>
      <c r="Y82" s="238"/>
      <c r="Z82" s="243">
        <f t="shared" ref="Z82:Z83" si="12">SUM(V82:Y82)</f>
        <v>0</v>
      </c>
    </row>
    <row r="83" spans="1:26" outlineLevel="1" x14ac:dyDescent="0.2">
      <c r="A83" s="84" t="e">
        <f>ROW(#REF!)</f>
        <v>#REF!</v>
      </c>
      <c r="B83" s="99" t="s">
        <v>749</v>
      </c>
      <c r="C83" s="99"/>
      <c r="D83" s="99"/>
      <c r="E83" s="114">
        <f>Tabelle5132454[[#Totals],[Aufwandsentschädigungen]]</f>
        <v>50</v>
      </c>
      <c r="F83" s="115">
        <f>Tabelle5132454[[#Totals],[Interne Reisekosten]]</f>
        <v>300</v>
      </c>
      <c r="G83" s="115">
        <f>Tabelle5132454[[#Totals],[Raum + Unterkunft intern]]</f>
        <v>0</v>
      </c>
      <c r="H83" s="115">
        <f>Tabelle5132454[[#Totals],[Repräsentation/Bewirtung intern]]</f>
        <v>0</v>
      </c>
      <c r="I83" s="244">
        <f t="shared" si="11"/>
        <v>350</v>
      </c>
      <c r="R83" s="84">
        <f t="shared" si="8"/>
        <v>16</v>
      </c>
      <c r="S83" s="99" t="s">
        <v>749</v>
      </c>
      <c r="T83" s="99"/>
      <c r="U83" s="99"/>
      <c r="V83" s="114">
        <f>Tabelle51324[[#Totals],[Aufwandsentschädigungen]]</f>
        <v>500</v>
      </c>
      <c r="W83" s="115">
        <f>Tabelle51324[[#Totals],[Interne Reisekosten]]</f>
        <v>300</v>
      </c>
      <c r="X83" s="115">
        <f>Tabelle51324[[#Totals],[Raum + Unterkunft intern]]</f>
        <v>200</v>
      </c>
      <c r="Y83" s="115">
        <f>Tabelle51324[[#Totals],[Repräsentation/Bewirtung intern]]</f>
        <v>200</v>
      </c>
      <c r="Z83" s="244">
        <f t="shared" si="12"/>
        <v>1200</v>
      </c>
    </row>
    <row r="84" spans="1:26" s="67" customFormat="1" ht="15.75" customHeight="1" outlineLevel="1" thickBot="1" x14ac:dyDescent="0.25">
      <c r="A84" s="239" t="e">
        <f>ROW(#REF!)</f>
        <v>#REF!</v>
      </c>
      <c r="B84" s="240" t="s">
        <v>589</v>
      </c>
      <c r="C84" s="240"/>
      <c r="D84" s="240" t="s">
        <v>750</v>
      </c>
      <c r="E84" s="241">
        <v>1000</v>
      </c>
      <c r="F84" s="242">
        <v>1000</v>
      </c>
      <c r="G84" s="242">
        <v>500</v>
      </c>
      <c r="H84" s="242">
        <v>50</v>
      </c>
      <c r="I84" s="245">
        <f>SUM(E84:H84)</f>
        <v>2550</v>
      </c>
      <c r="R84" s="239">
        <f t="shared" si="8"/>
        <v>17</v>
      </c>
      <c r="S84" s="240" t="s">
        <v>589</v>
      </c>
      <c r="T84" s="240"/>
      <c r="U84" s="240" t="s">
        <v>750</v>
      </c>
      <c r="V84" s="241">
        <v>1000</v>
      </c>
      <c r="W84" s="242">
        <v>1000</v>
      </c>
      <c r="X84" s="242">
        <v>500</v>
      </c>
      <c r="Y84" s="242">
        <v>50</v>
      </c>
      <c r="Z84" s="245">
        <f>SUM(V84:Y84)</f>
        <v>2550</v>
      </c>
    </row>
    <row r="85" spans="1:26" ht="23.25" customHeight="1" thickBot="1" x14ac:dyDescent="0.25">
      <c r="A85" s="84"/>
      <c r="B85" s="84"/>
      <c r="C85" s="84"/>
      <c r="D85" s="93" t="s">
        <v>680</v>
      </c>
      <c r="E85" s="250">
        <f>SUBTOTAL(9,Tabelle6152555[Aufwandsentschädigungen])</f>
        <v>4650</v>
      </c>
      <c r="F85" s="334">
        <f>SUBTOTAL(9,Tabelle6152555[Interne Reisekosten])</f>
        <v>2600</v>
      </c>
      <c r="G85" s="334">
        <f>SUBTOTAL(9,Tabelle6152555[Raum + Unterkunft intern])</f>
        <v>1400</v>
      </c>
      <c r="H85" s="334">
        <f>SUBTOTAL(9,Tabelle6152555[Repräsentation/Bewirtung intern])</f>
        <v>200</v>
      </c>
      <c r="I85" s="618">
        <f>SUBTOTAL(9,Tabelle6152555[Gesamt])</f>
        <v>8850</v>
      </c>
      <c r="R85" s="84"/>
      <c r="S85" s="84"/>
      <c r="T85" s="84"/>
      <c r="U85" s="93" t="s">
        <v>680</v>
      </c>
      <c r="V85" s="250">
        <f>SUBTOTAL(9,Tabelle61525[Aufwandsentschädigungen])</f>
        <v>4500</v>
      </c>
      <c r="W85" s="334">
        <f>SUBTOTAL(9,Tabelle61525[Interne Reisekosten])</f>
        <v>2600</v>
      </c>
      <c r="X85" s="334">
        <f>SUBTOTAL(9,Tabelle61525[Raum + Unterkunft intern])</f>
        <v>1600</v>
      </c>
      <c r="Y85" s="334">
        <f>SUBTOTAL(9,Tabelle61525[Repräsentation/Bewirtung intern])</f>
        <v>400</v>
      </c>
      <c r="Z85" s="618">
        <f>SUBTOTAL(9,Tabelle61525[Gesamt])</f>
        <v>6900</v>
      </c>
    </row>
  </sheetData>
  <sheetProtection insertRows="0" insertHyperlinks="0" selectLockedCells="1" sort="0" autoFilter="0" pivotTables="0"/>
  <hyperlinks>
    <hyperlink ref="B5" location="Psy_TN_Beiträge_I" display="Teilnahmebeiträge Seminare" xr:uid="{0453963A-7C7C-4D9E-B18C-56B17FDD3B32}"/>
    <hyperlink ref="B6" location="Psy_TN_Beiträge_II" display="Teilnahmebeiträge Veranstaltungen" xr:uid="{9DFC1D83-3A91-40B1-AEC6-B1B58044C269}"/>
    <hyperlink ref="B7" location="Psy_Sonst_Einnahmen" display="Sonstige Einnahmen (Vorauszahlungen Bewirtung, Werbung, …)" xr:uid="{85CB398F-E7A8-47F5-8F55-08E8E0F030B8}"/>
    <hyperlink ref="B22" location="Rechtsk.FSen" display="Rechtsangelegenheiten" xr:uid="{B557D944-BDAD-4730-9D1A-B570A7CB9285}"/>
    <hyperlink ref="B21" location="Psy_Sonst." display="Sonstige Kosten (Lizenzen, Allg. Geschäftsbetrieb)" xr:uid="{99072CBF-3BDE-4600-9CE2-2A4910EF4783}"/>
    <hyperlink ref="B20" location="Psy_Druck" display="Druckkosten" xr:uid="{284A7711-6CD5-45B6-98D8-E903451B64E2}"/>
    <hyperlink ref="B19" location="Psy_R_U_Ext." display="Raum- und Unterkunftskosten Seminare und Veranst." xr:uid="{B9A5831E-08C9-4907-92A3-73461C9CB048}"/>
    <hyperlink ref="B18" location="Psy_Bew.Ext." display="Bewirtung und Repräsentation extern" xr:uid="{9A940BE2-559D-46B5-BF68-7489F357B355}"/>
    <hyperlink ref="B17" location="Psy_Ext.RK" display="Ext. Reisekosten" xr:uid="{841D1EC4-D2C7-4A70-9113-D33F75887453}"/>
    <hyperlink ref="B16" location="Psy_Hon_II" display="Andere Honorare" xr:uid="{00B244FB-CFD0-43CF-9830-60011911939C}"/>
    <hyperlink ref="B15" location="PSY_Hon_I" display="Honorare Fachseminare" xr:uid="{C468D83F-12A6-479D-B77C-1CAE37FC851C}"/>
    <hyperlink ref="B14" location="Psy_Bew.Int." display="Bewirtung und Repräsentation intern" xr:uid="{BCF7486E-758C-490E-B5A5-7030EAB290CE}"/>
    <hyperlink ref="B13" location="Psy_R_U_Int." display="Raum- und Unterkunftskosten" xr:uid="{C0D79CB6-281E-41FD-BB60-467A372C3D90}"/>
    <hyperlink ref="B12" location="Psy_RK_Int." display="Fahrtkosten und Verpflegungspauschalen" xr:uid="{4A3CD5D4-652A-4BB7-A35F-B7F9FE84D05B}"/>
    <hyperlink ref="B11" location="Psy_AE_var" display="AE variabel" xr:uid="{410284D4-4A9B-467E-9B7A-00384F1CD937}"/>
    <hyperlink ref="AD62" location="PSY!F22" display="PSY!F22" xr:uid="{8D746BA3-4712-433B-951E-0CB1C15660D5}"/>
    <hyperlink ref="AC62" location="PSY!F21" display="PSY!F21" xr:uid="{72CA8D58-F432-4E3E-9660-8587D72B1E37}"/>
    <hyperlink ref="AB44" location="PSY!F20" display="PSY!F20" xr:uid="{B97FFEC5-90AC-4E9E-829A-F35C0F75E7A2}"/>
    <hyperlink ref="AA44" location="PSY!F19" display="PSY!F19" xr:uid="{0495FB04-DA3A-45DF-94DC-B32725621A63}"/>
    <hyperlink ref="Z44" location="PSY!F18" display="PSY!F18" xr:uid="{070859CA-A642-4CE1-8D94-89A93889B116}"/>
    <hyperlink ref="Y44" location="PSY!F17" display="PSY!F17" xr:uid="{C9C3D3A7-256D-4193-88EB-F6BFCF7A5B19}"/>
    <hyperlink ref="AB62" location="PSY!F20" display="PSY!F20" xr:uid="{BF13A95F-D6F8-46A8-8413-DA88EEB3A9BD}"/>
    <hyperlink ref="AA62" location="PSY!F19" display="PSY!F19" xr:uid="{EA404281-C66E-48F0-8C05-3901F042DD77}"/>
    <hyperlink ref="Z62" location="PSY!F18" display="PSY!F18" xr:uid="{7E853A99-BA17-40A5-A208-ECF19E6E6505}"/>
    <hyperlink ref="X44" location="PSY!F16" display="PSY!F16" xr:uid="{19109362-F4C0-468D-8F22-28451135DDDE}"/>
    <hyperlink ref="W44" location="PSY!F15" display="PSY!F15" xr:uid="{B6126403-66C6-4544-A9D4-234F9CE8C9E2}"/>
    <hyperlink ref="Y85" location="PSY!F14" display="PSY!F14" xr:uid="{7B61D4B7-6C3B-4507-837D-4A28E0CE01EC}"/>
    <hyperlink ref="Y62" location="PSY!F14" display="PSY!F14" xr:uid="{1967F87C-836F-42EC-9F5E-486A5234F906}"/>
    <hyperlink ref="X85" location="PSY!F13" display="PSY!F13" xr:uid="{56AB8003-E032-41DF-BD91-837BB7BB5F85}"/>
    <hyperlink ref="X62" location="PSY!F13" display="PSY!F13" xr:uid="{7AA7DC5D-CE80-4718-B23E-E35A8B8007A6}"/>
    <hyperlink ref="W85" location="PSY!F12" display="PSY!F12" xr:uid="{9DA5D675-2D85-44D3-AFD6-9664A42D0A52}"/>
    <hyperlink ref="W62" location="PSY!F12" display="PSY!F12" xr:uid="{BDDC78D5-5C28-4B17-9009-8A7CD8F2116D}"/>
    <hyperlink ref="V85" location="PSY!F11" display="PSY!F11" xr:uid="{ACE6FCC8-FAAA-4A8B-ADEC-3E3BBB44B2C3}"/>
    <hyperlink ref="V62" location="PSY!F11" display="PSY!F11" xr:uid="{5AF8C656-C0AF-4711-BFD2-AE0FC3BA6B5E}"/>
    <hyperlink ref="U62" location="PSY!F7" display="PSY!F7" xr:uid="{EE15AD62-86E5-4AC0-BB93-62AC2323CEE0}"/>
    <hyperlink ref="T62" location="PSY!F6" display="PSY!F6" xr:uid="{C98CB359-5778-4289-9890-05888A188D6D}"/>
    <hyperlink ref="V44" location="PSY!F7" display="PSY!F7" xr:uid="{50E0ACB9-709F-4D6C-B0E1-4B6FCFADAA30}"/>
    <hyperlink ref="U44" location="PSY!F6" display="PSY!F6" xr:uid="{CEBACADC-45F9-4DA4-BD9B-3B9CDB7E5A62}"/>
    <hyperlink ref="T44" location="PSY!F5" display="PSY!F5" xr:uid="{31BCCCC1-6FF1-44A1-A1D0-08551F83767B}"/>
    <hyperlink ref="H7" location="MaßnPSY_230.10" display="MaßnPSY_230.10" xr:uid="{6F562935-E031-462B-A940-20D97308C938}"/>
    <hyperlink ref="H6" location="MaßnPSY_220.10" display="MaßnPSY_220.10" xr:uid="{A2F09AAE-972D-46EA-BEDB-3571928640C9}"/>
    <hyperlink ref="H5" location="SemPSY_210.10" display="SemPSY_210.10" xr:uid="{1B8AE865-CCD5-4A10-B683-E97D57ECEF6B}"/>
    <hyperlink ref="H22" location="MaßnPSY_560.70" display="MaßnPSY_560.70" xr:uid="{307C90B5-6520-4B7E-8058-679F1D1D8E62}"/>
    <hyperlink ref="H21" location="MaßnPSY_551.70" display="MaßnPSY_551.70" xr:uid="{0C9E6D5A-41AF-4A25-8C13-2E675EC27282}"/>
    <hyperlink ref="H20" location="MaßnPSY_551.60" display="MaßnPSY_551.60" xr:uid="{0E760F93-2ECD-44CF-99CF-7C2F4B6A6FBC}"/>
    <hyperlink ref="H19" location="SemPSY_551.50" display="SemPSY_551.50" xr:uid="{4DA119F8-194F-42B5-8239-F8F8ACF11E6A}"/>
    <hyperlink ref="H18" location="SemPSY_551.40" display="SemPSY_551.40" xr:uid="{D68A88F7-0472-480F-BBE4-D052D0F0E0C9}"/>
    <hyperlink ref="H17" location="SemPSY_551.30" display="SemPSY_551.30" xr:uid="{A09F51B7-E2C2-4B38-A509-4BD0C988E5C7}"/>
    <hyperlink ref="H16" location="SemPSY_551.20" display="SemPSY_551.20" xr:uid="{87E92E19-FD74-447F-A520-EA4AA8C8915F}"/>
    <hyperlink ref="H15" location="SemPSY_551.10" display="SemPSY_551.10" xr:uid="{2350AFEC-8A15-46C5-960F-7E77B5BA312C}"/>
    <hyperlink ref="H14" location="AEFKPSY_531.40" display="AEFKPSY_531.40" xr:uid="{8A8C6C28-79B1-4B2C-8F51-E33545C2842D}"/>
    <hyperlink ref="H13" location="AEFKPSY_529.40" display="AEFKPSY_529.40" xr:uid="{CE63A9A4-1387-46B0-857C-5EC798E25886}"/>
    <hyperlink ref="H12" location="AEFKPSY_527.40" display="AEFKPSY_527.40" xr:uid="{B6E848B1-5F41-4C8F-9A18-8F4AC875CD50}"/>
    <hyperlink ref="H11" location="AEFKPSY_413.21" display="AEFKPSY_413.21" xr:uid="{0002B1F4-9700-42A0-A072-0EF392A9E861}"/>
    <hyperlink ref="M62" location="PSY!F22" display="PSY!F22" xr:uid="{D55EFCB3-3E7A-42C6-B466-7341F660F0CF}"/>
    <hyperlink ref="L62" location="PSY!F21" display="PSY!F21" xr:uid="{7C07826F-217E-4D3D-B20A-5A587C184B2A}"/>
    <hyperlink ref="K62" location="PSY!F20" display="PSY!F20" xr:uid="{A65DB4CB-74BA-4971-872D-E5E740496AAC}"/>
    <hyperlink ref="J62" location="PSY!F19" display="PSY!F19" xr:uid="{F8290992-0CBC-493E-B787-8A2FC2EB5661}"/>
    <hyperlink ref="I62" location="PSY!F18" display="PSY!F18" xr:uid="{62B8159F-6E78-42B9-B2D2-0A7EF846F5ED}"/>
    <hyperlink ref="F44" location="PSY!F15" display="PSY!F15" xr:uid="{BEC32615-BB99-46E1-A004-E3987BEC73BF}"/>
    <hyperlink ref="H85" location="PSY!F14" display="PSY!F14" xr:uid="{4B81E9C2-C451-434B-9C43-F8708BC5D55F}"/>
    <hyperlink ref="H62" location="PSY!F14" display="PSY!F14" xr:uid="{72C8877F-C31C-4459-8F56-1203AB71CEA6}"/>
    <hyperlink ref="G85" location="PSY!F13" display="PSY!F13" xr:uid="{B595101A-A95A-42EF-87FE-FC0A19E3E7A3}"/>
    <hyperlink ref="G62" location="PSY!F13" display="PSY!F13" xr:uid="{5A5C0A04-361B-4133-A3AE-46B7BA7186C9}"/>
    <hyperlink ref="F85" location="PSY!F12" display="PSY!F12" xr:uid="{50D115E7-AAE6-459C-82AE-3D5F09C88783}"/>
    <hyperlink ref="F62" location="PSY!F12" display="PSY!F12" xr:uid="{49991905-A774-4139-BD47-4D421B24ABA2}"/>
    <hyperlink ref="E85" location="PSY!F11" display="PSY!F11" xr:uid="{A945B927-CA51-4096-98BF-786898233F58}"/>
    <hyperlink ref="E62" location="PSY!F11" display="PSY!F11" xr:uid="{D17F6F78-2E64-4977-A417-AB908073BB0B}"/>
    <hyperlink ref="D62" location="PSY!F7" display="PSY!F7" xr:uid="{5C3194B7-973E-4FE6-8B5F-67DD2377A97D}"/>
    <hyperlink ref="C62" location="PSY!F6" display="PSY!F6" xr:uid="{E51A4388-FA29-464F-8314-D330ECCBD555}"/>
    <hyperlink ref="E44" location="PSY!F7" display="PSY!F7" xr:uid="{8EE3E558-2467-475E-9FEB-76D72832D414}"/>
    <hyperlink ref="D44" location="PSY!F6" display="PSY!F6" xr:uid="{92F54BFB-13A2-416F-AAAB-C73719F27E24}"/>
    <hyperlink ref="C44" location="PSY!F5" display="PSY!F5" xr:uid="{12749BB5-070D-4214-A87A-F2A51E79CA03}"/>
    <hyperlink ref="G44:L44" location="PSY!F15" display="PSY!F15" xr:uid="{5A0EF350-FD21-4BC7-AC12-2C23F080567D}"/>
  </hyperlinks>
  <pageMargins left="0.7" right="0.7" top="0.78740157499999996" bottom="0.78740157499999996" header="0.3" footer="0.3"/>
  <pageSetup paperSize="9" orientation="landscape" verticalDpi="0" r:id="rId1"/>
  <legacyDrawing r:id="rId2"/>
  <tableParts count="7">
    <tablePart r:id="rId3"/>
    <tablePart r:id="rId4"/>
    <tablePart r:id="rId5"/>
    <tablePart r:id="rId6"/>
    <tablePart r:id="rId7"/>
    <tablePart r:id="rId8"/>
    <tablePart r:id="rId9"/>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52F34-233F-4E69-A001-B133C8CF8875}">
  <sheetPr codeName="Tabelle9"/>
  <dimension ref="A1:AF89"/>
  <sheetViews>
    <sheetView showGridLines="0" zoomScaleNormal="100" workbookViewId="0">
      <selection activeCell="F14" sqref="F14"/>
    </sheetView>
  </sheetViews>
  <sheetFormatPr baseColWidth="10" defaultColWidth="11.5" defaultRowHeight="15" outlineLevelRow="1" x14ac:dyDescent="0.2"/>
  <cols>
    <col min="1" max="1" width="10.33203125" customWidth="1"/>
    <col min="2" max="2" width="29.33203125" customWidth="1"/>
    <col min="3" max="3" width="16.5" customWidth="1"/>
    <col min="4" max="4" width="15.83203125" customWidth="1"/>
    <col min="5" max="5" width="16" customWidth="1"/>
    <col min="6" max="6" width="14" customWidth="1"/>
    <col min="7" max="7" width="12.83203125" customWidth="1"/>
    <col min="8" max="8" width="13.33203125" customWidth="1"/>
    <col min="9" max="9" width="12.1640625" customWidth="1"/>
    <col min="10" max="10" width="13.5" customWidth="1"/>
    <col min="11" max="11" width="12" customWidth="1"/>
    <col min="19" max="19" width="20.5" customWidth="1"/>
  </cols>
  <sheetData>
    <row r="1" spans="1:12" ht="19" x14ac:dyDescent="0.25">
      <c r="A1" s="11"/>
      <c r="B1" s="7" t="s">
        <v>761</v>
      </c>
    </row>
    <row r="2" spans="1:12" ht="19.5" customHeight="1" thickBot="1" x14ac:dyDescent="0.25">
      <c r="B2" s="943" t="s">
        <v>1353</v>
      </c>
    </row>
    <row r="3" spans="1:12" s="213" customFormat="1" ht="34.5" customHeight="1" thickBot="1" x14ac:dyDescent="0.25">
      <c r="A3" s="214" t="s">
        <v>1</v>
      </c>
      <c r="B3" s="332" t="s">
        <v>4</v>
      </c>
      <c r="C3" s="311" t="s">
        <v>701</v>
      </c>
      <c r="D3" s="312" t="s">
        <v>702</v>
      </c>
      <c r="E3" s="313" t="s">
        <v>703</v>
      </c>
      <c r="F3" s="313" t="s">
        <v>704</v>
      </c>
      <c r="G3" s="313" t="s">
        <v>1350</v>
      </c>
      <c r="H3" s="313" t="s">
        <v>1351</v>
      </c>
      <c r="I3" s="209" t="s">
        <v>705</v>
      </c>
      <c r="J3" s="211" t="s">
        <v>7</v>
      </c>
      <c r="K3" s="212" t="s">
        <v>706</v>
      </c>
      <c r="L3" s="313" t="s">
        <v>707</v>
      </c>
    </row>
    <row r="4" spans="1:12" ht="18.75" customHeight="1" x14ac:dyDescent="0.2">
      <c r="A4" s="152" t="s">
        <v>708</v>
      </c>
      <c r="B4" s="153"/>
      <c r="C4" s="153"/>
      <c r="D4" s="153"/>
      <c r="E4" s="952"/>
      <c r="F4" s="953"/>
      <c r="G4" s="902"/>
      <c r="H4" s="971"/>
      <c r="I4" s="945"/>
      <c r="J4" s="154"/>
      <c r="K4" s="36"/>
      <c r="L4" s="66"/>
    </row>
    <row r="5" spans="1:12" x14ac:dyDescent="0.2">
      <c r="A5" s="155" t="s">
        <v>76</v>
      </c>
      <c r="B5" s="190" t="s">
        <v>633</v>
      </c>
      <c r="C5" s="126"/>
      <c r="D5" s="126"/>
      <c r="E5" s="150">
        <v>23500</v>
      </c>
      <c r="F5" s="929"/>
      <c r="G5" s="923">
        <v>29578</v>
      </c>
      <c r="H5" s="913">
        <f>Tabelle4102327[[#Totals],[Teilnahmebeiträge Fachseminare]]</f>
        <v>29578</v>
      </c>
      <c r="I5" s="903">
        <v>32000</v>
      </c>
      <c r="J5" s="656">
        <v>24965</v>
      </c>
      <c r="K5" s="156"/>
      <c r="L5" s="126"/>
    </row>
    <row r="6" spans="1:12" x14ac:dyDescent="0.2">
      <c r="A6" s="155" t="s">
        <v>86</v>
      </c>
      <c r="B6" s="190" t="s">
        <v>634</v>
      </c>
      <c r="C6" s="126"/>
      <c r="D6" s="126"/>
      <c r="E6" s="150"/>
      <c r="F6" s="929"/>
      <c r="G6" s="923">
        <v>0</v>
      </c>
      <c r="H6" s="913">
        <f>Tabelle4102327[[#Totals],[Teilnahmebeiträge Veranstaltungen]]+Tabelle5132428[[#Totals],[Teilnahmebeiträge Veranstaltungen]]</f>
        <v>0</v>
      </c>
      <c r="I6" s="903">
        <v>0</v>
      </c>
      <c r="J6" s="656">
        <v>0</v>
      </c>
      <c r="K6" s="156"/>
      <c r="L6" s="126"/>
    </row>
    <row r="7" spans="1:12" ht="16" thickBot="1" x14ac:dyDescent="0.25">
      <c r="A7" s="155" t="s">
        <v>93</v>
      </c>
      <c r="B7" s="190" t="s">
        <v>709</v>
      </c>
      <c r="C7" s="126"/>
      <c r="D7" s="126"/>
      <c r="E7" s="150"/>
      <c r="F7" s="929"/>
      <c r="G7" s="923">
        <v>0</v>
      </c>
      <c r="H7" s="913">
        <f>Tabelle4102327[[#Totals],[Sonstige Einnahmen]]+Tabelle5132428[[#Totals],[Sonstige Einnahmen]]</f>
        <v>0</v>
      </c>
      <c r="I7" s="903">
        <v>0</v>
      </c>
      <c r="J7" s="656">
        <v>0</v>
      </c>
      <c r="K7" s="156"/>
      <c r="L7" s="126"/>
    </row>
    <row r="8" spans="1:12" ht="16" thickBot="1" x14ac:dyDescent="0.25">
      <c r="A8" s="157"/>
      <c r="B8" s="158"/>
      <c r="C8" s="158"/>
      <c r="D8" s="158" t="s">
        <v>566</v>
      </c>
      <c r="E8" s="954">
        <f t="shared" ref="E8:F8" si="0">SUBTOTAL(9,E5:E7)</f>
        <v>23500</v>
      </c>
      <c r="F8" s="148">
        <f t="shared" si="0"/>
        <v>0</v>
      </c>
      <c r="G8" s="964">
        <f>SUBTOTAL(9,G5:G7)</f>
        <v>29578</v>
      </c>
      <c r="H8" s="914">
        <f>SUBTOTAL(9,H5:H7)</f>
        <v>29578</v>
      </c>
      <c r="I8" s="904">
        <f>SUBTOTAL(9,I5:I7)</f>
        <v>32000</v>
      </c>
      <c r="J8" s="147">
        <f>SUBTOTAL(9,J5:J7)</f>
        <v>24965</v>
      </c>
      <c r="K8" s="159"/>
      <c r="L8" s="314"/>
    </row>
    <row r="9" spans="1:12" ht="18.75" customHeight="1" x14ac:dyDescent="0.2">
      <c r="A9" s="160" t="s">
        <v>119</v>
      </c>
      <c r="B9" s="161"/>
      <c r="C9" s="161"/>
      <c r="D9" s="161"/>
      <c r="E9" s="149"/>
      <c r="F9" s="932"/>
      <c r="G9" s="905"/>
      <c r="H9" s="915"/>
      <c r="I9" s="905"/>
      <c r="J9" s="161"/>
      <c r="K9" s="162"/>
      <c r="L9" s="126"/>
    </row>
    <row r="10" spans="1:12" x14ac:dyDescent="0.2">
      <c r="A10" s="163" t="s">
        <v>134</v>
      </c>
      <c r="B10" s="126" t="s">
        <v>710</v>
      </c>
      <c r="C10" s="126"/>
      <c r="D10" s="126"/>
      <c r="E10" s="150">
        <v>9600</v>
      </c>
      <c r="F10" s="929"/>
      <c r="G10" s="924">
        <v>9600</v>
      </c>
      <c r="H10" s="916">
        <f>800*12</f>
        <v>9600</v>
      </c>
      <c r="I10" s="906">
        <f>800*12</f>
        <v>9600</v>
      </c>
      <c r="J10" s="656">
        <v>9520</v>
      </c>
      <c r="K10" s="156"/>
      <c r="L10" s="126"/>
    </row>
    <row r="11" spans="1:12" x14ac:dyDescent="0.2">
      <c r="A11" s="163" t="s">
        <v>144</v>
      </c>
      <c r="B11" s="190" t="s">
        <v>711</v>
      </c>
      <c r="C11" s="126"/>
      <c r="D11" s="126"/>
      <c r="E11" s="150">
        <v>4400</v>
      </c>
      <c r="F11" s="929"/>
      <c r="G11" s="923">
        <v>5000</v>
      </c>
      <c r="H11" s="913">
        <f>Tabelle6152529[[#Totals],[Aufwandsentschädigungen]]</f>
        <v>4400</v>
      </c>
      <c r="I11" s="903">
        <v>4400</v>
      </c>
      <c r="J11" s="656">
        <v>2350</v>
      </c>
      <c r="K11" s="156"/>
      <c r="L11" s="126"/>
    </row>
    <row r="12" spans="1:12" x14ac:dyDescent="0.2">
      <c r="A12" s="163" t="s">
        <v>1189</v>
      </c>
      <c r="B12" s="190" t="s">
        <v>713</v>
      </c>
      <c r="C12" s="126"/>
      <c r="D12" s="126"/>
      <c r="E12" s="150">
        <v>4000</v>
      </c>
      <c r="F12" s="929"/>
      <c r="G12" s="923">
        <v>7800</v>
      </c>
      <c r="H12" s="913">
        <f>Tabelle6152529[[#Totals],[Interne Reisekosten]]</f>
        <v>6000</v>
      </c>
      <c r="I12" s="903">
        <v>8000</v>
      </c>
      <c r="J12" s="656">
        <v>1852.7</v>
      </c>
      <c r="K12" s="156"/>
      <c r="L12" s="126"/>
    </row>
    <row r="13" spans="1:12" ht="15" customHeight="1" x14ac:dyDescent="0.2">
      <c r="A13" s="163" t="s">
        <v>277</v>
      </c>
      <c r="B13" s="190" t="s">
        <v>714</v>
      </c>
      <c r="C13" s="164"/>
      <c r="D13" s="164"/>
      <c r="E13" s="955">
        <v>2500</v>
      </c>
      <c r="F13" s="935"/>
      <c r="G13" s="923">
        <v>1700</v>
      </c>
      <c r="H13" s="947">
        <f>Tabelle6152529[[#Totals],[Raum + Unterkunft intern]]</f>
        <v>1700</v>
      </c>
      <c r="I13" s="903">
        <v>2000</v>
      </c>
      <c r="J13" s="657">
        <v>144</v>
      </c>
      <c r="K13" s="165"/>
      <c r="L13" s="126"/>
    </row>
    <row r="14" spans="1:12" x14ac:dyDescent="0.2">
      <c r="A14" s="163" t="s">
        <v>300</v>
      </c>
      <c r="B14" s="192" t="s">
        <v>715</v>
      </c>
      <c r="C14" s="66"/>
      <c r="D14" s="66"/>
      <c r="E14" s="956">
        <v>500</v>
      </c>
      <c r="F14" s="937"/>
      <c r="G14" s="923">
        <v>500</v>
      </c>
      <c r="H14" s="948">
        <f>Tabelle6152529[[#Totals],[Repräsentation/Bewirtung intern]]</f>
        <v>520</v>
      </c>
      <c r="I14" s="903">
        <v>500</v>
      </c>
      <c r="J14" s="658">
        <v>24</v>
      </c>
      <c r="K14" s="166"/>
      <c r="L14" s="66"/>
    </row>
    <row r="15" spans="1:12" x14ac:dyDescent="0.2">
      <c r="A15" s="163" t="s">
        <v>346</v>
      </c>
      <c r="B15" s="190" t="s">
        <v>716</v>
      </c>
      <c r="C15" s="126"/>
      <c r="D15" s="126"/>
      <c r="E15" s="150">
        <v>22000</v>
      </c>
      <c r="F15" s="929"/>
      <c r="G15" s="923">
        <v>25715</v>
      </c>
      <c r="H15" s="913">
        <f>Tabelle4102327[[#Totals],[Honorare Dozierende Fachseminare]]</f>
        <v>25715</v>
      </c>
      <c r="I15" s="903">
        <f>42000*0.7</f>
        <v>29399.999999999996</v>
      </c>
      <c r="J15" s="656">
        <v>25892.880000000001</v>
      </c>
      <c r="K15" s="156"/>
      <c r="L15" s="126"/>
    </row>
    <row r="16" spans="1:12" x14ac:dyDescent="0.2">
      <c r="A16" s="163" t="s">
        <v>357</v>
      </c>
      <c r="B16" s="191" t="s">
        <v>323</v>
      </c>
      <c r="C16" s="66"/>
      <c r="D16" s="66"/>
      <c r="E16" s="956"/>
      <c r="F16" s="937"/>
      <c r="G16" s="923">
        <v>2500</v>
      </c>
      <c r="H16" s="919">
        <f>Tabelle5132428[[#Totals],[Andere Honorare]]</f>
        <v>2500</v>
      </c>
      <c r="I16" s="903">
        <f>42000*0.15</f>
        <v>6300</v>
      </c>
      <c r="J16" s="658">
        <v>0</v>
      </c>
      <c r="K16" s="166"/>
      <c r="L16" s="66"/>
    </row>
    <row r="17" spans="1:12" x14ac:dyDescent="0.2">
      <c r="A17" s="163" t="s">
        <v>365</v>
      </c>
      <c r="B17" s="191" t="s">
        <v>717</v>
      </c>
      <c r="C17" s="66"/>
      <c r="D17" s="66"/>
      <c r="E17" s="956"/>
      <c r="F17" s="937"/>
      <c r="G17" s="923">
        <v>500</v>
      </c>
      <c r="H17" s="919">
        <f>Tabelle4102327[[#Totals],[Externe Reisekosten]]</f>
        <v>500</v>
      </c>
      <c r="I17" s="903">
        <f>42000*0.15</f>
        <v>6300</v>
      </c>
      <c r="J17" s="658">
        <v>0</v>
      </c>
      <c r="K17" s="166"/>
      <c r="L17" s="66"/>
    </row>
    <row r="18" spans="1:12" x14ac:dyDescent="0.2">
      <c r="A18" s="163" t="s">
        <v>375</v>
      </c>
      <c r="B18" s="191" t="s">
        <v>368</v>
      </c>
      <c r="C18" s="66"/>
      <c r="D18" s="66"/>
      <c r="E18" s="956"/>
      <c r="F18" s="937"/>
      <c r="G18" s="923">
        <v>450</v>
      </c>
      <c r="H18" s="919">
        <f>Tabelle4102327[[#Totals],[Repräsentation/Bewirtung extern]]+Tabelle5132428[[#Totals],[Repräsentation/Bewirtung extern]]</f>
        <v>450</v>
      </c>
      <c r="I18" s="903">
        <v>300</v>
      </c>
      <c r="J18" s="658">
        <v>0</v>
      </c>
      <c r="K18" s="166"/>
      <c r="L18" s="66"/>
    </row>
    <row r="19" spans="1:12" x14ac:dyDescent="0.2">
      <c r="A19" s="163" t="s">
        <v>387</v>
      </c>
      <c r="B19" s="191" t="s">
        <v>718</v>
      </c>
      <c r="C19" s="66"/>
      <c r="D19" s="66"/>
      <c r="E19" s="956">
        <v>1500</v>
      </c>
      <c r="F19" s="937"/>
      <c r="G19" s="923">
        <v>400</v>
      </c>
      <c r="H19" s="919">
        <f>Tabelle4102327[[#Totals],[Raum + Unterkunft extern]]+Tabelle5132428[[#Totals],[Raum + Unterkunft extern]]</f>
        <v>400</v>
      </c>
      <c r="I19" s="903">
        <v>4000</v>
      </c>
      <c r="J19" s="658">
        <v>0</v>
      </c>
      <c r="K19" s="166"/>
      <c r="L19" s="66"/>
    </row>
    <row r="20" spans="1:12" x14ac:dyDescent="0.2">
      <c r="A20" s="163" t="s">
        <v>397</v>
      </c>
      <c r="B20" s="192" t="s">
        <v>1213</v>
      </c>
      <c r="C20" s="66"/>
      <c r="D20" s="66"/>
      <c r="E20" s="956"/>
      <c r="F20" s="937"/>
      <c r="G20" s="923">
        <v>1700</v>
      </c>
      <c r="H20" s="948">
        <f>Tabelle4102327[[#Totals],[Verwaltungs- und Druckkosten]]+Tabelle5132428[[#Totals],[Druckkosten]]</f>
        <v>1703</v>
      </c>
      <c r="I20" s="903">
        <v>0</v>
      </c>
      <c r="J20" s="658">
        <v>0</v>
      </c>
      <c r="K20" s="166"/>
      <c r="L20" s="66"/>
    </row>
    <row r="21" spans="1:12" x14ac:dyDescent="0.2">
      <c r="A21" s="163" t="s">
        <v>409</v>
      </c>
      <c r="B21" s="192" t="s">
        <v>402</v>
      </c>
      <c r="C21" s="66"/>
      <c r="D21" s="66"/>
      <c r="E21" s="956">
        <v>2000</v>
      </c>
      <c r="F21" s="937"/>
      <c r="G21" s="923">
        <v>3500</v>
      </c>
      <c r="H21" s="948">
        <f>Tabelle5132428[[#Totals],[Sonstige Kosten]]</f>
        <v>3500</v>
      </c>
      <c r="I21" s="903">
        <v>3000</v>
      </c>
      <c r="J21" s="658">
        <v>2559.1</v>
      </c>
      <c r="K21" s="166"/>
      <c r="L21" s="66"/>
    </row>
    <row r="22" spans="1:12" ht="16" thickBot="1" x14ac:dyDescent="0.25">
      <c r="A22" s="163" t="s">
        <v>431</v>
      </c>
      <c r="B22" s="192" t="s">
        <v>658</v>
      </c>
      <c r="C22" s="66"/>
      <c r="D22" s="66"/>
      <c r="E22" s="972">
        <v>1500</v>
      </c>
      <c r="F22" s="973"/>
      <c r="G22" s="925">
        <v>1000</v>
      </c>
      <c r="H22" s="949">
        <f>Tabelle5132428[[#Totals],[Rechtsangelegenheiten]]</f>
        <v>1000</v>
      </c>
      <c r="I22" s="907">
        <v>1500</v>
      </c>
      <c r="J22" s="658">
        <v>160.65</v>
      </c>
      <c r="K22" s="166"/>
      <c r="L22" s="66"/>
    </row>
    <row r="23" spans="1:12" ht="16" thickBot="1" x14ac:dyDescent="0.25">
      <c r="A23" s="167"/>
      <c r="B23" s="168"/>
      <c r="C23" s="168"/>
      <c r="D23" s="169" t="s">
        <v>566</v>
      </c>
      <c r="E23" s="174">
        <f t="shared" ref="E23:H23" si="1">SUBTOTAL(109,E10:E22)</f>
        <v>48000</v>
      </c>
      <c r="F23" s="174">
        <f t="shared" si="1"/>
        <v>0</v>
      </c>
      <c r="G23" s="174">
        <f t="shared" si="1"/>
        <v>60365</v>
      </c>
      <c r="H23" s="151">
        <f t="shared" si="1"/>
        <v>57988</v>
      </c>
      <c r="I23" s="151">
        <f>SUBTOTAL(109,I10:I22)</f>
        <v>75300</v>
      </c>
      <c r="J23" s="151">
        <f>SUBTOTAL(109,J10:J22)</f>
        <v>42503.33</v>
      </c>
      <c r="K23" s="170"/>
      <c r="L23" s="612"/>
    </row>
    <row r="24" spans="1:12" ht="16" thickBot="1" x14ac:dyDescent="0.25">
      <c r="A24" s="64"/>
      <c r="B24" s="66"/>
      <c r="C24" s="66"/>
      <c r="D24" s="66"/>
      <c r="E24" s="66"/>
      <c r="F24" s="66"/>
      <c r="G24" s="66"/>
      <c r="H24" s="66"/>
    </row>
    <row r="25" spans="1:12" ht="16" thickBot="1" x14ac:dyDescent="0.25">
      <c r="A25" s="64"/>
      <c r="B25" s="66"/>
      <c r="C25" s="66"/>
      <c r="D25" s="172" t="s">
        <v>719</v>
      </c>
      <c r="E25" s="173">
        <f>E8-Tabelle18222630[[#Totals],[Freie Eingabe Plan HHJ 22-23]]</f>
        <v>-24500</v>
      </c>
      <c r="F25" s="315">
        <f>G8-Tabelle18222630[[#Totals],[Freie Eingabe Plan HHJ 22-232]]</f>
        <v>-30787</v>
      </c>
      <c r="G25" s="315">
        <f>I8-Tabelle18222630[[#Totals],[Freie Eingabe Plan HHJ 21-22]]</f>
        <v>-43300</v>
      </c>
      <c r="H25" s="315">
        <f>H8-Tabelle18222630[[#Totals],[Rechnung HHJ 22-233]]</f>
        <v>-28410</v>
      </c>
      <c r="I25" s="315">
        <f>I8-Tabelle18222630[[#Totals],[Freie Eingabe Plan HHJ 21-22]]</f>
        <v>-43300</v>
      </c>
      <c r="J25" s="315">
        <f>J8-Tabelle18222630[[#Totals],[IST HHJ 21-22]]</f>
        <v>-17538.330000000002</v>
      </c>
      <c r="K25" s="315"/>
    </row>
    <row r="26" spans="1:12" x14ac:dyDescent="0.2">
      <c r="A26" s="63"/>
      <c r="B26" s="62"/>
      <c r="C26" s="62"/>
      <c r="D26" s="62"/>
      <c r="E26" s="62"/>
      <c r="F26" s="62"/>
      <c r="G26" s="62"/>
      <c r="H26" s="62"/>
    </row>
    <row r="27" spans="1:12" ht="16" x14ac:dyDescent="0.2">
      <c r="B27" s="100" t="s">
        <v>720</v>
      </c>
      <c r="C27" s="62"/>
      <c r="D27" s="62"/>
      <c r="E27" s="74"/>
      <c r="F27" s="62"/>
      <c r="G27" s="62"/>
      <c r="H27" s="62"/>
    </row>
    <row r="28" spans="1:12" ht="16" x14ac:dyDescent="0.2">
      <c r="B28" s="63" t="s">
        <v>721</v>
      </c>
      <c r="C28" s="62"/>
      <c r="D28" s="62"/>
      <c r="E28" s="74"/>
      <c r="F28" s="62"/>
      <c r="G28" s="62"/>
      <c r="H28" s="62"/>
    </row>
    <row r="29" spans="1:12" x14ac:dyDescent="0.2">
      <c r="B29" s="63" t="s">
        <v>722</v>
      </c>
      <c r="C29" s="66"/>
      <c r="D29" s="66"/>
      <c r="E29" s="75"/>
      <c r="F29" s="66"/>
      <c r="G29" s="66"/>
      <c r="H29" s="66"/>
    </row>
    <row r="30" spans="1:12" x14ac:dyDescent="0.2">
      <c r="A30" s="64"/>
      <c r="B30" s="66"/>
      <c r="C30" s="66"/>
      <c r="D30" s="66"/>
      <c r="E30" s="75"/>
      <c r="F30" s="66"/>
      <c r="G30" s="66"/>
      <c r="H30" s="66"/>
    </row>
    <row r="31" spans="1:12" x14ac:dyDescent="0.2">
      <c r="A31" s="63"/>
      <c r="B31" s="62"/>
      <c r="C31" s="62"/>
      <c r="D31" s="62"/>
      <c r="E31" s="62"/>
      <c r="F31" s="62"/>
      <c r="G31" s="62"/>
      <c r="H31" s="62"/>
    </row>
    <row r="32" spans="1:12" ht="16" x14ac:dyDescent="0.2">
      <c r="A32" s="7"/>
      <c r="B32" s="7" t="s">
        <v>1215</v>
      </c>
      <c r="D32" s="6" t="s">
        <v>723</v>
      </c>
    </row>
    <row r="33" spans="1:31" ht="17" thickBot="1" x14ac:dyDescent="0.25">
      <c r="A33" s="7"/>
    </row>
    <row r="34" spans="1:31" ht="16" thickBot="1" x14ac:dyDescent="0.25">
      <c r="A34" s="316"/>
      <c r="B34" s="317" t="s">
        <v>639</v>
      </c>
      <c r="C34" s="318" t="s">
        <v>76</v>
      </c>
      <c r="D34" s="319" t="s">
        <v>86</v>
      </c>
      <c r="E34" s="319" t="s">
        <v>93</v>
      </c>
      <c r="F34" s="320" t="s">
        <v>346</v>
      </c>
      <c r="G34" s="320"/>
      <c r="H34" s="320" t="s">
        <v>365</v>
      </c>
      <c r="I34" s="320" t="s">
        <v>375</v>
      </c>
      <c r="J34" s="320" t="s">
        <v>387</v>
      </c>
      <c r="K34" s="320" t="s">
        <v>397</v>
      </c>
      <c r="L34" s="321"/>
      <c r="R34" s="316"/>
      <c r="S34" s="317" t="s">
        <v>639</v>
      </c>
      <c r="T34" s="318" t="s">
        <v>76</v>
      </c>
      <c r="U34" s="319" t="s">
        <v>86</v>
      </c>
      <c r="V34" s="319" t="s">
        <v>93</v>
      </c>
      <c r="W34" s="320" t="s">
        <v>346</v>
      </c>
      <c r="X34" s="320"/>
      <c r="Y34" s="320" t="s">
        <v>365</v>
      </c>
      <c r="Z34" s="320" t="s">
        <v>375</v>
      </c>
      <c r="AA34" s="320" t="s">
        <v>387</v>
      </c>
      <c r="AB34" s="320" t="s">
        <v>397</v>
      </c>
      <c r="AC34" s="321"/>
    </row>
    <row r="35" spans="1:31" ht="61" thickBot="1" x14ac:dyDescent="0.25">
      <c r="A35" s="81" t="s">
        <v>724</v>
      </c>
      <c r="B35" s="119" t="s">
        <v>725</v>
      </c>
      <c r="C35" s="322" t="s">
        <v>726</v>
      </c>
      <c r="D35" s="323" t="s">
        <v>634</v>
      </c>
      <c r="E35" s="323" t="s">
        <v>727</v>
      </c>
      <c r="F35" s="323" t="s">
        <v>320</v>
      </c>
      <c r="G35" s="323" t="s">
        <v>732</v>
      </c>
      <c r="H35" s="323" t="s">
        <v>326</v>
      </c>
      <c r="I35" s="323" t="s">
        <v>728</v>
      </c>
      <c r="J35" s="323" t="s">
        <v>729</v>
      </c>
      <c r="K35" s="323" t="s">
        <v>1206</v>
      </c>
      <c r="L35" s="324" t="s">
        <v>590</v>
      </c>
      <c r="R35" s="81" t="s">
        <v>724</v>
      </c>
      <c r="S35" s="119" t="s">
        <v>725</v>
      </c>
      <c r="T35" s="322" t="s">
        <v>726</v>
      </c>
      <c r="U35" s="323" t="s">
        <v>634</v>
      </c>
      <c r="V35" s="323" t="s">
        <v>727</v>
      </c>
      <c r="W35" s="323" t="s">
        <v>320</v>
      </c>
      <c r="X35" s="323" t="s">
        <v>732</v>
      </c>
      <c r="Y35" s="323" t="s">
        <v>326</v>
      </c>
      <c r="Z35" s="323" t="s">
        <v>728</v>
      </c>
      <c r="AA35" s="323" t="s">
        <v>729</v>
      </c>
      <c r="AB35" s="323" t="s">
        <v>1206</v>
      </c>
      <c r="AC35" s="324" t="s">
        <v>590</v>
      </c>
    </row>
    <row r="36" spans="1:31" ht="249" customHeight="1" x14ac:dyDescent="0.2">
      <c r="A36" s="81">
        <f>ROW(A1)</f>
        <v>1</v>
      </c>
      <c r="B36" s="606" t="s">
        <v>1240</v>
      </c>
      <c r="C36" s="607"/>
      <c r="D36" s="608"/>
      <c r="E36" s="608"/>
      <c r="F36" s="608"/>
      <c r="G36" s="608"/>
      <c r="H36" s="608"/>
      <c r="I36" s="608"/>
      <c r="J36" s="608"/>
      <c r="K36" s="608"/>
      <c r="L36" s="609"/>
      <c r="N36" s="604" t="s">
        <v>1259</v>
      </c>
      <c r="R36" s="81">
        <f>ROW(A1)</f>
        <v>1</v>
      </c>
      <c r="S36" s="606" t="s">
        <v>1240</v>
      </c>
      <c r="T36" s="607"/>
      <c r="U36" s="608"/>
      <c r="V36" s="608"/>
      <c r="W36" s="608"/>
      <c r="X36" s="608"/>
      <c r="Y36" s="608"/>
      <c r="Z36" s="608"/>
      <c r="AA36" s="608"/>
      <c r="AB36" s="608"/>
      <c r="AC36" s="609"/>
      <c r="AE36" s="604" t="s">
        <v>1259</v>
      </c>
    </row>
    <row r="37" spans="1:31" ht="46.5" customHeight="1" x14ac:dyDescent="0.2">
      <c r="A37" s="81">
        <f t="shared" ref="A37:A46" si="2">ROW(A2)</f>
        <v>2</v>
      </c>
      <c r="B37" s="625"/>
      <c r="C37" s="623"/>
      <c r="D37" s="624"/>
      <c r="E37" s="624"/>
      <c r="F37" s="624"/>
      <c r="G37" s="624"/>
      <c r="H37" s="624"/>
      <c r="I37" s="624"/>
      <c r="J37" s="624"/>
      <c r="K37" s="624"/>
      <c r="L37" s="103"/>
      <c r="R37" s="81">
        <f>ROW(A1)</f>
        <v>1</v>
      </c>
      <c r="S37" s="625" t="s">
        <v>1241</v>
      </c>
      <c r="T37" s="623">
        <v>7159</v>
      </c>
      <c r="U37" s="624"/>
      <c r="V37" s="624"/>
      <c r="W37" s="624">
        <v>6380</v>
      </c>
      <c r="X37" s="624">
        <v>256</v>
      </c>
      <c r="Y37" s="624"/>
      <c r="Z37" s="624">
        <v>40</v>
      </c>
      <c r="AA37" s="624"/>
      <c r="AB37" s="624">
        <v>483</v>
      </c>
      <c r="AC37" s="103">
        <f>SUM(T37:V37)-SUM(W37:AB37)</f>
        <v>0</v>
      </c>
    </row>
    <row r="38" spans="1:31" s="67" customFormat="1" ht="55.5" customHeight="1" outlineLevel="1" x14ac:dyDescent="0.2">
      <c r="A38" s="81">
        <f t="shared" si="2"/>
        <v>3</v>
      </c>
      <c r="B38" s="619"/>
      <c r="C38" s="101"/>
      <c r="D38" s="102"/>
      <c r="E38" s="102"/>
      <c r="F38" s="102"/>
      <c r="G38" s="102"/>
      <c r="H38" s="102"/>
      <c r="I38" s="102"/>
      <c r="J38" s="102"/>
      <c r="K38" s="102"/>
      <c r="L38" s="103"/>
      <c r="R38" s="76">
        <f>ROW(A1)</f>
        <v>1</v>
      </c>
      <c r="S38" s="619" t="s">
        <v>1220</v>
      </c>
      <c r="T38" s="101">
        <v>3871</v>
      </c>
      <c r="U38" s="102"/>
      <c r="V38" s="102"/>
      <c r="W38" s="102">
        <v>3480</v>
      </c>
      <c r="X38" s="102">
        <v>128</v>
      </c>
      <c r="Y38" s="102"/>
      <c r="Z38" s="102">
        <v>20</v>
      </c>
      <c r="AA38" s="102"/>
      <c r="AB38" s="102">
        <v>243</v>
      </c>
      <c r="AC38" s="103">
        <f>SUM(T38:V38)-SUM(W38:AB38)</f>
        <v>0</v>
      </c>
    </row>
    <row r="39" spans="1:31" s="67" customFormat="1" ht="46.5" customHeight="1" outlineLevel="1" x14ac:dyDescent="0.2">
      <c r="A39" s="81">
        <f t="shared" si="2"/>
        <v>4</v>
      </c>
      <c r="B39" s="619"/>
      <c r="C39" s="101"/>
      <c r="D39" s="102"/>
      <c r="E39" s="102"/>
      <c r="F39" s="102"/>
      <c r="G39" s="102"/>
      <c r="H39" s="102"/>
      <c r="I39" s="102"/>
      <c r="J39" s="102"/>
      <c r="K39" s="102"/>
      <c r="L39" s="103"/>
      <c r="R39" s="76">
        <f>ROW(A2)</f>
        <v>2</v>
      </c>
      <c r="S39" s="619" t="s">
        <v>1221</v>
      </c>
      <c r="T39" s="101">
        <v>4400.5</v>
      </c>
      <c r="U39" s="102"/>
      <c r="V39" s="102"/>
      <c r="W39" s="102">
        <v>3987.5</v>
      </c>
      <c r="X39" s="102">
        <v>160</v>
      </c>
      <c r="Y39" s="102"/>
      <c r="Z39" s="102">
        <v>25</v>
      </c>
      <c r="AA39" s="102"/>
      <c r="AB39" s="102">
        <v>228</v>
      </c>
      <c r="AC39" s="103">
        <f t="shared" ref="AC39:AC46" si="3">SUM(T39:V39)-SUM(W39:AB39)</f>
        <v>0</v>
      </c>
    </row>
    <row r="40" spans="1:31" s="67" customFormat="1" ht="43.5" customHeight="1" outlineLevel="1" x14ac:dyDescent="0.2">
      <c r="A40" s="81">
        <f t="shared" si="2"/>
        <v>5</v>
      </c>
      <c r="B40" s="619"/>
      <c r="C40" s="101"/>
      <c r="D40" s="102"/>
      <c r="E40" s="102"/>
      <c r="F40" s="102"/>
      <c r="G40" s="102"/>
      <c r="H40" s="102"/>
      <c r="I40" s="102"/>
      <c r="J40" s="102"/>
      <c r="K40" s="102"/>
      <c r="L40" s="103"/>
      <c r="R40" s="76">
        <f>ROW(A3)</f>
        <v>3</v>
      </c>
      <c r="S40" s="619" t="s">
        <v>1217</v>
      </c>
      <c r="T40" s="101">
        <v>3521</v>
      </c>
      <c r="U40" s="102"/>
      <c r="V40" s="102"/>
      <c r="W40" s="102">
        <v>3190</v>
      </c>
      <c r="X40" s="102">
        <v>128</v>
      </c>
      <c r="Y40" s="102"/>
      <c r="Z40" s="102">
        <v>20</v>
      </c>
      <c r="AA40" s="102"/>
      <c r="AB40" s="102">
        <v>183</v>
      </c>
      <c r="AC40" s="103">
        <f t="shared" si="3"/>
        <v>0</v>
      </c>
    </row>
    <row r="41" spans="1:31" s="67" customFormat="1" ht="43.5" customHeight="1" outlineLevel="1" x14ac:dyDescent="0.2">
      <c r="A41" s="81">
        <f t="shared" si="2"/>
        <v>6</v>
      </c>
      <c r="B41" s="619"/>
      <c r="C41" s="101"/>
      <c r="D41" s="102"/>
      <c r="E41" s="102"/>
      <c r="F41" s="102"/>
      <c r="G41" s="102"/>
      <c r="H41" s="102"/>
      <c r="I41" s="102"/>
      <c r="J41" s="102"/>
      <c r="K41" s="102"/>
      <c r="L41" s="103"/>
      <c r="R41" s="76">
        <f>ROW(A4)</f>
        <v>4</v>
      </c>
      <c r="S41" s="619" t="s">
        <v>1218</v>
      </c>
      <c r="T41" s="101">
        <v>3521</v>
      </c>
      <c r="U41" s="102"/>
      <c r="V41" s="102"/>
      <c r="W41" s="102">
        <v>3190</v>
      </c>
      <c r="X41" s="102">
        <v>128</v>
      </c>
      <c r="Y41" s="102"/>
      <c r="Z41" s="102">
        <v>20</v>
      </c>
      <c r="AA41" s="102"/>
      <c r="AB41" s="102">
        <v>183</v>
      </c>
      <c r="AC41" s="103">
        <f t="shared" si="3"/>
        <v>0</v>
      </c>
    </row>
    <row r="42" spans="1:31" s="67" customFormat="1" ht="39" customHeight="1" outlineLevel="1" x14ac:dyDescent="0.2">
      <c r="A42" s="81">
        <f t="shared" si="2"/>
        <v>7</v>
      </c>
      <c r="B42" s="619"/>
      <c r="C42" s="101"/>
      <c r="D42" s="102"/>
      <c r="E42" s="102"/>
      <c r="F42" s="102"/>
      <c r="G42" s="102"/>
      <c r="H42" s="102"/>
      <c r="I42" s="102"/>
      <c r="J42" s="102"/>
      <c r="K42" s="102"/>
      <c r="L42" s="103"/>
      <c r="R42" s="76">
        <f>ROW(A5)</f>
        <v>5</v>
      </c>
      <c r="S42" s="619" t="s">
        <v>1219</v>
      </c>
      <c r="T42" s="101">
        <v>4355.5</v>
      </c>
      <c r="U42" s="102"/>
      <c r="V42" s="102"/>
      <c r="W42" s="102">
        <v>3987.5</v>
      </c>
      <c r="X42" s="102">
        <v>160</v>
      </c>
      <c r="Y42" s="102"/>
      <c r="Z42" s="102">
        <v>25</v>
      </c>
      <c r="AA42" s="102"/>
      <c r="AB42" s="102">
        <v>183</v>
      </c>
      <c r="AC42" s="103">
        <f t="shared" si="3"/>
        <v>0</v>
      </c>
    </row>
    <row r="43" spans="1:31" s="67" customFormat="1" outlineLevel="1" x14ac:dyDescent="0.2">
      <c r="A43" s="81">
        <f t="shared" si="2"/>
        <v>8</v>
      </c>
      <c r="B43" s="619"/>
      <c r="C43" s="101"/>
      <c r="D43" s="102"/>
      <c r="E43" s="102"/>
      <c r="F43" s="102"/>
      <c r="G43" s="102"/>
      <c r="H43" s="102"/>
      <c r="I43" s="102"/>
      <c r="J43" s="102"/>
      <c r="K43" s="102"/>
      <c r="L43" s="103"/>
      <c r="R43" s="76">
        <f>ROW(A7)</f>
        <v>7</v>
      </c>
      <c r="S43" s="619"/>
      <c r="T43" s="101"/>
      <c r="U43" s="102"/>
      <c r="V43" s="102"/>
      <c r="W43" s="102"/>
      <c r="X43" s="102"/>
      <c r="Y43" s="102"/>
      <c r="Z43" s="102"/>
      <c r="AA43" s="102"/>
      <c r="AB43" s="102"/>
      <c r="AC43" s="103">
        <f t="shared" si="3"/>
        <v>0</v>
      </c>
    </row>
    <row r="44" spans="1:31" s="67" customFormat="1" outlineLevel="1" x14ac:dyDescent="0.2">
      <c r="A44" s="81">
        <f t="shared" si="2"/>
        <v>9</v>
      </c>
      <c r="B44" s="249"/>
      <c r="C44" s="101"/>
      <c r="D44" s="102"/>
      <c r="E44" s="102"/>
      <c r="F44" s="102"/>
      <c r="G44" s="102"/>
      <c r="H44" s="102"/>
      <c r="I44" s="102"/>
      <c r="J44" s="102"/>
      <c r="K44" s="102"/>
      <c r="L44" s="103"/>
      <c r="R44" s="76">
        <f>ROW(A24)</f>
        <v>24</v>
      </c>
      <c r="S44" s="249"/>
      <c r="T44" s="101"/>
      <c r="U44" s="102"/>
      <c r="V44" s="102"/>
      <c r="W44" s="102"/>
      <c r="X44" s="102"/>
      <c r="Y44" s="102"/>
      <c r="Z44" s="102"/>
      <c r="AA44" s="102"/>
      <c r="AB44" s="102"/>
      <c r="AC44" s="103">
        <f t="shared" si="3"/>
        <v>0</v>
      </c>
    </row>
    <row r="45" spans="1:31" s="67" customFormat="1" outlineLevel="1" x14ac:dyDescent="0.2">
      <c r="A45" s="81">
        <f t="shared" si="2"/>
        <v>10</v>
      </c>
      <c r="C45" s="101"/>
      <c r="D45" s="102"/>
      <c r="E45" s="102"/>
      <c r="F45" s="102"/>
      <c r="G45" s="102"/>
      <c r="H45" s="102"/>
      <c r="I45" s="102"/>
      <c r="J45" s="102"/>
      <c r="K45" s="102"/>
      <c r="L45" s="103"/>
      <c r="R45" s="76">
        <f>ROW(A25)</f>
        <v>25</v>
      </c>
      <c r="T45" s="101"/>
      <c r="U45" s="102"/>
      <c r="V45" s="102"/>
      <c r="W45" s="102"/>
      <c r="X45" s="102"/>
      <c r="Y45" s="102"/>
      <c r="Z45" s="102"/>
      <c r="AA45" s="102"/>
      <c r="AB45" s="102"/>
      <c r="AC45" s="103">
        <f t="shared" si="3"/>
        <v>0</v>
      </c>
    </row>
    <row r="46" spans="1:31" s="67" customFormat="1" outlineLevel="1" x14ac:dyDescent="0.2">
      <c r="A46" s="81">
        <f t="shared" si="2"/>
        <v>11</v>
      </c>
      <c r="B46" s="68"/>
      <c r="C46" s="104"/>
      <c r="D46" s="105"/>
      <c r="E46" s="105"/>
      <c r="F46" s="105"/>
      <c r="G46" s="105"/>
      <c r="H46" s="105"/>
      <c r="I46" s="105"/>
      <c r="J46" s="105"/>
      <c r="K46" s="105"/>
      <c r="L46" s="103"/>
      <c r="R46" s="76">
        <f>ROW(A26)</f>
        <v>26</v>
      </c>
      <c r="S46" s="68" t="s">
        <v>589</v>
      </c>
      <c r="T46" s="104">
        <v>2750</v>
      </c>
      <c r="U46" s="105">
        <v>0</v>
      </c>
      <c r="V46" s="105">
        <v>0</v>
      </c>
      <c r="W46" s="105">
        <v>1500</v>
      </c>
      <c r="X46" s="105">
        <v>250</v>
      </c>
      <c r="Y46" s="105">
        <v>500</v>
      </c>
      <c r="Z46" s="105">
        <v>100</v>
      </c>
      <c r="AA46" s="105">
        <v>200</v>
      </c>
      <c r="AB46" s="105">
        <v>200</v>
      </c>
      <c r="AC46" s="103">
        <f t="shared" si="3"/>
        <v>0</v>
      </c>
    </row>
    <row r="47" spans="1:31" s="67" customFormat="1" ht="16" outlineLevel="1" thickBot="1" x14ac:dyDescent="0.25">
      <c r="A47" s="76"/>
      <c r="C47" s="107"/>
      <c r="D47" s="102"/>
      <c r="E47" s="102"/>
      <c r="F47" s="108"/>
      <c r="G47" s="102"/>
      <c r="H47" s="102"/>
      <c r="I47" s="102"/>
      <c r="J47" s="102"/>
      <c r="K47" s="102"/>
      <c r="L47" s="109"/>
      <c r="R47" s="76"/>
      <c r="T47" s="107"/>
      <c r="U47" s="102"/>
      <c r="V47" s="102"/>
      <c r="W47" s="108"/>
      <c r="X47" s="102"/>
      <c r="Y47" s="102"/>
      <c r="Z47" s="102"/>
      <c r="AA47" s="102"/>
      <c r="AB47" s="102"/>
      <c r="AC47" s="109"/>
    </row>
    <row r="48" spans="1:31" s="84" customFormat="1" ht="20.25" customHeight="1" thickBot="1" x14ac:dyDescent="0.25">
      <c r="A48" s="82"/>
      <c r="B48" s="83" t="s">
        <v>680</v>
      </c>
      <c r="C48" s="248">
        <f>SUBTOTAL(9,Tabelle410232763[Teilnahmebeiträge Fachseminare])</f>
        <v>0</v>
      </c>
      <c r="D48" s="333">
        <f>SUBTOTAL(9,Tabelle410232763[Teilnahmebeiträge Veranstaltungen])</f>
        <v>0</v>
      </c>
      <c r="E48" s="333">
        <f>SUBTOTAL(9,Tabelle410232763[Sonstige Einnahmen])</f>
        <v>0</v>
      </c>
      <c r="F48" s="334">
        <f>SUBTOTAL(9,Tabelle410232763[Honorare Dozierende Fachseminare])</f>
        <v>0</v>
      </c>
      <c r="G48" s="334">
        <f>SUBTOTAL(9,Tabelle410232763[Aufwandsentschädigungen])</f>
        <v>0</v>
      </c>
      <c r="H48" s="334">
        <f>SUBTOTAL(9,Tabelle410232763[Externe Reisekosten])</f>
        <v>0</v>
      </c>
      <c r="I48" s="334">
        <f>SUBTOTAL(9,Tabelle410232763[Repräsentation/Bewirtung extern])</f>
        <v>0</v>
      </c>
      <c r="J48" s="334">
        <f>SUBTOTAL(9,Tabelle410232763[Raum + Unterkunft extern])</f>
        <v>0</v>
      </c>
      <c r="K48" s="334">
        <f>SUBTOTAL(9,Tabelle410232763[Verwaltungs- und Druckkosten])</f>
        <v>0</v>
      </c>
      <c r="L48" s="610">
        <f>SUBTOTAL(9,Tabelle410232763[Gesamt])</f>
        <v>0</v>
      </c>
      <c r="R48" s="82"/>
      <c r="S48" s="83" t="s">
        <v>680</v>
      </c>
      <c r="T48" s="248">
        <f>SUBTOTAL(9,Tabelle4102327[Teilnahmebeiträge Fachseminare])</f>
        <v>29578</v>
      </c>
      <c r="U48" s="333">
        <f>SUBTOTAL(9,Tabelle4102327[Teilnahmebeiträge Veranstaltungen])</f>
        <v>0</v>
      </c>
      <c r="V48" s="333">
        <f>SUBTOTAL(9,Tabelle4102327[Sonstige Einnahmen])</f>
        <v>0</v>
      </c>
      <c r="W48" s="334">
        <f>SUBTOTAL(9,Tabelle4102327[Honorare Dozierende Fachseminare])</f>
        <v>25715</v>
      </c>
      <c r="X48" s="334">
        <f>SUBTOTAL(9,Tabelle4102327[Aufwandsentschädigungen])</f>
        <v>1210</v>
      </c>
      <c r="Y48" s="334">
        <f>SUBTOTAL(9,Tabelle4102327[Externe Reisekosten])</f>
        <v>500</v>
      </c>
      <c r="Z48" s="334">
        <f>SUBTOTAL(9,Tabelle4102327[Repräsentation/Bewirtung extern])</f>
        <v>250</v>
      </c>
      <c r="AA48" s="334">
        <f>SUBTOTAL(9,Tabelle4102327[Raum + Unterkunft extern])</f>
        <v>200</v>
      </c>
      <c r="AB48" s="334">
        <f>SUBTOTAL(9,Tabelle4102327[Verwaltungs- und Druckkosten])</f>
        <v>1703</v>
      </c>
      <c r="AC48" s="610">
        <f>SUBTOTAL(9,Tabelle4102327[Gesamt])</f>
        <v>0</v>
      </c>
    </row>
    <row r="49" spans="1:32" ht="15" customHeight="1" x14ac:dyDescent="0.25">
      <c r="A49" s="11"/>
      <c r="R49" s="11"/>
    </row>
    <row r="50" spans="1:32" s="61" customFormat="1" ht="16" x14ac:dyDescent="0.2">
      <c r="A50" s="7"/>
      <c r="B50" s="7" t="s">
        <v>730</v>
      </c>
      <c r="D50" s="6" t="s">
        <v>723</v>
      </c>
      <c r="R50" s="7"/>
      <c r="S50" s="7" t="s">
        <v>730</v>
      </c>
      <c r="U50" s="6" t="s">
        <v>723</v>
      </c>
    </row>
    <row r="51" spans="1:32" ht="15.75" customHeight="1" thickBot="1" x14ac:dyDescent="0.3">
      <c r="A51" s="11"/>
      <c r="R51" s="11"/>
    </row>
    <row r="52" spans="1:32" ht="16" thickBot="1" x14ac:dyDescent="0.25">
      <c r="A52" s="86"/>
      <c r="B52" s="122" t="s">
        <v>639</v>
      </c>
      <c r="C52" s="77" t="s">
        <v>86</v>
      </c>
      <c r="D52" s="78" t="s">
        <v>93</v>
      </c>
      <c r="E52" s="79" t="s">
        <v>144</v>
      </c>
      <c r="F52" s="79" t="s">
        <v>250</v>
      </c>
      <c r="G52" s="79" t="s">
        <v>277</v>
      </c>
      <c r="H52" s="79" t="s">
        <v>300</v>
      </c>
      <c r="I52" s="79" t="s">
        <v>375</v>
      </c>
      <c r="J52" s="79" t="s">
        <v>387</v>
      </c>
      <c r="K52" s="79" t="s">
        <v>397</v>
      </c>
      <c r="L52" s="79" t="s">
        <v>409</v>
      </c>
      <c r="M52" s="79" t="s">
        <v>431</v>
      </c>
      <c r="N52" s="601" t="s">
        <v>357</v>
      </c>
      <c r="O52" s="80"/>
      <c r="R52" s="86"/>
      <c r="S52" s="122" t="s">
        <v>639</v>
      </c>
      <c r="T52" s="77" t="s">
        <v>86</v>
      </c>
      <c r="U52" s="78" t="s">
        <v>93</v>
      </c>
      <c r="V52" s="79" t="s">
        <v>144</v>
      </c>
      <c r="W52" s="79" t="s">
        <v>250</v>
      </c>
      <c r="X52" s="79" t="s">
        <v>277</v>
      </c>
      <c r="Y52" s="79" t="s">
        <v>300</v>
      </c>
      <c r="Z52" s="79" t="s">
        <v>375</v>
      </c>
      <c r="AA52" s="79" t="s">
        <v>387</v>
      </c>
      <c r="AB52" s="79" t="s">
        <v>397</v>
      </c>
      <c r="AC52" s="79" t="s">
        <v>409</v>
      </c>
      <c r="AD52" s="79" t="s">
        <v>431</v>
      </c>
      <c r="AE52" s="601" t="s">
        <v>357</v>
      </c>
      <c r="AF52" s="80"/>
    </row>
    <row r="53" spans="1:32" ht="61" thickBot="1" x14ac:dyDescent="0.25">
      <c r="A53" s="87" t="s">
        <v>724</v>
      </c>
      <c r="B53" s="85" t="s">
        <v>731</v>
      </c>
      <c r="C53" s="88" t="s">
        <v>634</v>
      </c>
      <c r="D53" s="85" t="s">
        <v>727</v>
      </c>
      <c r="E53" s="85" t="s">
        <v>732</v>
      </c>
      <c r="F53" s="85" t="s">
        <v>627</v>
      </c>
      <c r="G53" s="85" t="s">
        <v>733</v>
      </c>
      <c r="H53" s="85" t="s">
        <v>734</v>
      </c>
      <c r="I53" s="85" t="s">
        <v>728</v>
      </c>
      <c r="J53" s="85" t="s">
        <v>729</v>
      </c>
      <c r="K53" s="85" t="s">
        <v>334</v>
      </c>
      <c r="L53" s="85" t="s">
        <v>315</v>
      </c>
      <c r="M53" s="85" t="s">
        <v>658</v>
      </c>
      <c r="N53" s="85" t="s">
        <v>323</v>
      </c>
      <c r="O53" s="89" t="s">
        <v>590</v>
      </c>
      <c r="R53" s="87" t="s">
        <v>724</v>
      </c>
      <c r="S53" s="85" t="s">
        <v>731</v>
      </c>
      <c r="T53" s="88" t="s">
        <v>634</v>
      </c>
      <c r="U53" s="85" t="s">
        <v>727</v>
      </c>
      <c r="V53" s="85" t="s">
        <v>732</v>
      </c>
      <c r="W53" s="85" t="s">
        <v>627</v>
      </c>
      <c r="X53" s="85" t="s">
        <v>733</v>
      </c>
      <c r="Y53" s="85" t="s">
        <v>734</v>
      </c>
      <c r="Z53" s="85" t="s">
        <v>728</v>
      </c>
      <c r="AA53" s="85" t="s">
        <v>729</v>
      </c>
      <c r="AB53" s="85" t="s">
        <v>334</v>
      </c>
      <c r="AC53" s="85" t="s">
        <v>315</v>
      </c>
      <c r="AD53" s="85" t="s">
        <v>658</v>
      </c>
      <c r="AE53" s="85" t="s">
        <v>323</v>
      </c>
      <c r="AF53" s="89" t="s">
        <v>590</v>
      </c>
    </row>
    <row r="54" spans="1:32" s="67" customFormat="1" ht="30" outlineLevel="1" x14ac:dyDescent="0.2">
      <c r="A54" s="235">
        <f>ROW(A1)</f>
        <v>1</v>
      </c>
      <c r="B54" s="236" t="s">
        <v>1225</v>
      </c>
      <c r="C54" s="328"/>
      <c r="D54" s="329"/>
      <c r="E54" s="329"/>
      <c r="F54" s="329"/>
      <c r="G54" s="329"/>
      <c r="H54" s="329"/>
      <c r="I54" s="329"/>
      <c r="J54" s="329"/>
      <c r="K54" s="329"/>
      <c r="L54" s="329"/>
      <c r="M54" s="329"/>
      <c r="N54" s="329"/>
      <c r="O54" s="243"/>
      <c r="R54" s="235">
        <f t="shared" ref="R54:R65" si="4">ROW(A1)</f>
        <v>1</v>
      </c>
      <c r="S54" s="236" t="s">
        <v>1225</v>
      </c>
      <c r="T54" s="328"/>
      <c r="U54" s="329"/>
      <c r="V54" s="329"/>
      <c r="W54" s="329"/>
      <c r="X54" s="329"/>
      <c r="Y54" s="329"/>
      <c r="Z54" s="329"/>
      <c r="AA54" s="329"/>
      <c r="AB54" s="329"/>
      <c r="AC54" s="329">
        <v>2000</v>
      </c>
      <c r="AD54" s="329">
        <v>0</v>
      </c>
      <c r="AE54" s="329"/>
      <c r="AF54" s="243">
        <f t="shared" ref="AF54:AF55" si="5">(T54+U54)-SUM(V54:AE54)</f>
        <v>-2000</v>
      </c>
    </row>
    <row r="55" spans="1:32" s="67" customFormat="1" outlineLevel="1" x14ac:dyDescent="0.2">
      <c r="A55" s="235">
        <f t="shared" ref="A55:A65" si="6">ROW(A2)</f>
        <v>2</v>
      </c>
      <c r="B55" s="236" t="s">
        <v>762</v>
      </c>
      <c r="C55" s="237"/>
      <c r="D55" s="238"/>
      <c r="E55" s="238"/>
      <c r="F55" s="238"/>
      <c r="G55" s="238"/>
      <c r="H55" s="238"/>
      <c r="I55" s="238"/>
      <c r="J55" s="238"/>
      <c r="K55" s="238"/>
      <c r="L55" s="238"/>
      <c r="M55" s="238"/>
      <c r="N55" s="238"/>
      <c r="O55" s="243"/>
      <c r="R55" s="235">
        <f t="shared" si="4"/>
        <v>2</v>
      </c>
      <c r="S55" s="236" t="s">
        <v>762</v>
      </c>
      <c r="T55" s="237"/>
      <c r="U55" s="238"/>
      <c r="V55" s="238"/>
      <c r="W55" s="238"/>
      <c r="X55" s="238"/>
      <c r="Y55" s="238"/>
      <c r="Z55" s="238"/>
      <c r="AA55" s="238"/>
      <c r="AB55" s="238"/>
      <c r="AC55" s="238"/>
      <c r="AD55" s="238">
        <v>500</v>
      </c>
      <c r="AE55" s="238"/>
      <c r="AF55" s="243">
        <f t="shared" si="5"/>
        <v>-500</v>
      </c>
    </row>
    <row r="56" spans="1:32" s="67" customFormat="1" ht="30" outlineLevel="1" x14ac:dyDescent="0.2">
      <c r="A56" s="235">
        <f t="shared" si="6"/>
        <v>3</v>
      </c>
      <c r="B56" s="236" t="s">
        <v>1222</v>
      </c>
      <c r="C56" s="237"/>
      <c r="D56" s="238"/>
      <c r="E56" s="238"/>
      <c r="F56" s="238"/>
      <c r="G56" s="238"/>
      <c r="H56" s="238"/>
      <c r="I56" s="238"/>
      <c r="J56" s="238"/>
      <c r="K56" s="238"/>
      <c r="L56" s="238"/>
      <c r="M56" s="238"/>
      <c r="N56" s="238"/>
      <c r="O56" s="243"/>
      <c r="R56" s="235">
        <f t="shared" si="4"/>
        <v>3</v>
      </c>
      <c r="S56" s="236" t="s">
        <v>1222</v>
      </c>
      <c r="T56" s="237"/>
      <c r="U56" s="238"/>
      <c r="V56" s="238"/>
      <c r="W56" s="238"/>
      <c r="X56" s="238"/>
      <c r="Y56" s="238"/>
      <c r="Z56" s="238"/>
      <c r="AA56" s="238"/>
      <c r="AB56" s="238"/>
      <c r="AC56" s="238"/>
      <c r="AD56" s="238"/>
      <c r="AE56" s="238">
        <v>2000</v>
      </c>
      <c r="AF56" s="243">
        <f>(T56+U56)-SUM(V56:AE56)</f>
        <v>-2000</v>
      </c>
    </row>
    <row r="57" spans="1:32" s="67" customFormat="1" ht="30" outlineLevel="1" x14ac:dyDescent="0.2">
      <c r="A57" s="235">
        <f t="shared" si="6"/>
        <v>4</v>
      </c>
      <c r="B57" s="236" t="s">
        <v>1292</v>
      </c>
      <c r="C57" s="237"/>
      <c r="D57" s="238"/>
      <c r="E57" s="238"/>
      <c r="F57" s="238"/>
      <c r="G57" s="238"/>
      <c r="H57" s="238"/>
      <c r="I57" s="238"/>
      <c r="J57" s="238"/>
      <c r="K57" s="238"/>
      <c r="L57" s="238">
        <v>500</v>
      </c>
      <c r="M57" s="238"/>
      <c r="N57" s="238"/>
      <c r="O57" s="243"/>
      <c r="R57" s="235">
        <f t="shared" si="4"/>
        <v>4</v>
      </c>
      <c r="S57" s="236" t="s">
        <v>1292</v>
      </c>
      <c r="T57" s="237"/>
      <c r="U57" s="238"/>
      <c r="V57" s="238"/>
      <c r="W57" s="238"/>
      <c r="X57" s="238"/>
      <c r="Y57" s="238"/>
      <c r="Z57" s="238"/>
      <c r="AA57" s="238"/>
      <c r="AB57" s="238"/>
      <c r="AC57" s="238">
        <v>500</v>
      </c>
      <c r="AD57" s="238"/>
      <c r="AE57" s="238"/>
      <c r="AF57" s="243">
        <f t="shared" ref="AF57:AF65" si="7">(T57+U57)-SUM(V57:AE57)</f>
        <v>-500</v>
      </c>
    </row>
    <row r="58" spans="1:32" s="67" customFormat="1" outlineLevel="1" x14ac:dyDescent="0.2">
      <c r="A58" s="235">
        <f t="shared" si="6"/>
        <v>5</v>
      </c>
      <c r="B58" s="236"/>
      <c r="C58" s="237"/>
      <c r="D58" s="238"/>
      <c r="E58" s="238"/>
      <c r="F58" s="238"/>
      <c r="G58" s="238"/>
      <c r="H58" s="238"/>
      <c r="I58" s="238"/>
      <c r="J58" s="238"/>
      <c r="K58" s="238"/>
      <c r="L58" s="238"/>
      <c r="M58" s="238"/>
      <c r="N58" s="238"/>
      <c r="O58" s="243"/>
      <c r="R58" s="235">
        <f t="shared" si="4"/>
        <v>5</v>
      </c>
      <c r="S58" s="236"/>
      <c r="T58" s="237"/>
      <c r="U58" s="238"/>
      <c r="V58" s="238"/>
      <c r="W58" s="238"/>
      <c r="X58" s="238"/>
      <c r="Y58" s="238"/>
      <c r="Z58" s="238"/>
      <c r="AA58" s="238"/>
      <c r="AB58" s="238"/>
      <c r="AC58" s="238"/>
      <c r="AD58" s="238"/>
      <c r="AE58" s="238"/>
      <c r="AF58" s="243">
        <f t="shared" si="7"/>
        <v>0</v>
      </c>
    </row>
    <row r="59" spans="1:32" s="67" customFormat="1" outlineLevel="1" x14ac:dyDescent="0.2">
      <c r="A59" s="235">
        <f t="shared" si="6"/>
        <v>6</v>
      </c>
      <c r="B59" s="236"/>
      <c r="C59" s="237"/>
      <c r="D59" s="238"/>
      <c r="E59" s="238"/>
      <c r="F59" s="238"/>
      <c r="G59" s="238"/>
      <c r="H59" s="238"/>
      <c r="I59" s="238"/>
      <c r="J59" s="238"/>
      <c r="K59" s="238"/>
      <c r="L59" s="238"/>
      <c r="M59" s="238"/>
      <c r="N59" s="238"/>
      <c r="O59" s="243"/>
      <c r="R59" s="235">
        <f t="shared" si="4"/>
        <v>6</v>
      </c>
      <c r="S59" s="236"/>
      <c r="T59" s="237"/>
      <c r="U59" s="238"/>
      <c r="V59" s="238"/>
      <c r="W59" s="238"/>
      <c r="X59" s="238"/>
      <c r="Y59" s="238"/>
      <c r="Z59" s="238"/>
      <c r="AA59" s="238"/>
      <c r="AB59" s="238"/>
      <c r="AC59" s="238"/>
      <c r="AD59" s="238"/>
      <c r="AE59" s="238"/>
      <c r="AF59" s="243">
        <f t="shared" si="7"/>
        <v>0</v>
      </c>
    </row>
    <row r="60" spans="1:32" s="67" customFormat="1" outlineLevel="1" x14ac:dyDescent="0.2">
      <c r="A60" s="235">
        <f t="shared" si="6"/>
        <v>7</v>
      </c>
      <c r="B60" s="236"/>
      <c r="C60" s="237"/>
      <c r="D60" s="238"/>
      <c r="E60" s="238"/>
      <c r="F60" s="238"/>
      <c r="G60" s="238"/>
      <c r="H60" s="238"/>
      <c r="I60" s="238"/>
      <c r="J60" s="238"/>
      <c r="K60" s="238"/>
      <c r="L60" s="238"/>
      <c r="M60" s="238"/>
      <c r="N60" s="238"/>
      <c r="O60" s="243"/>
      <c r="R60" s="235">
        <f t="shared" si="4"/>
        <v>7</v>
      </c>
      <c r="S60" s="236"/>
      <c r="T60" s="237"/>
      <c r="U60" s="238"/>
      <c r="V60" s="238"/>
      <c r="W60" s="238"/>
      <c r="X60" s="238"/>
      <c r="Y60" s="238"/>
      <c r="Z60" s="238"/>
      <c r="AA60" s="238"/>
      <c r="AB60" s="238"/>
      <c r="AC60" s="238"/>
      <c r="AD60" s="238"/>
      <c r="AE60" s="238"/>
      <c r="AF60" s="243">
        <f t="shared" si="7"/>
        <v>0</v>
      </c>
    </row>
    <row r="61" spans="1:32" s="67" customFormat="1" outlineLevel="1" x14ac:dyDescent="0.2">
      <c r="A61" s="235">
        <f t="shared" si="6"/>
        <v>8</v>
      </c>
      <c r="B61" s="236"/>
      <c r="C61" s="237"/>
      <c r="D61" s="238"/>
      <c r="E61" s="238"/>
      <c r="F61" s="238"/>
      <c r="G61" s="238"/>
      <c r="H61" s="238"/>
      <c r="I61" s="238"/>
      <c r="J61" s="238"/>
      <c r="K61" s="238"/>
      <c r="L61" s="238"/>
      <c r="M61" s="238"/>
      <c r="N61" s="238"/>
      <c r="O61" s="243"/>
      <c r="R61" s="235">
        <f t="shared" si="4"/>
        <v>8</v>
      </c>
      <c r="S61" s="236"/>
      <c r="T61" s="237"/>
      <c r="U61" s="238"/>
      <c r="V61" s="238"/>
      <c r="W61" s="238"/>
      <c r="X61" s="238"/>
      <c r="Y61" s="238"/>
      <c r="Z61" s="238"/>
      <c r="AA61" s="238"/>
      <c r="AB61" s="238"/>
      <c r="AC61" s="238"/>
      <c r="AD61" s="238"/>
      <c r="AE61" s="238"/>
      <c r="AF61" s="243">
        <f t="shared" si="7"/>
        <v>0</v>
      </c>
    </row>
    <row r="62" spans="1:32" s="67" customFormat="1" outlineLevel="1" x14ac:dyDescent="0.2">
      <c r="A62" s="235">
        <f t="shared" si="6"/>
        <v>9</v>
      </c>
      <c r="B62" s="236"/>
      <c r="C62" s="237"/>
      <c r="D62" s="238"/>
      <c r="E62" s="238"/>
      <c r="F62" s="238"/>
      <c r="G62" s="238"/>
      <c r="H62" s="238"/>
      <c r="I62" s="238"/>
      <c r="J62" s="238"/>
      <c r="K62" s="238"/>
      <c r="L62" s="238"/>
      <c r="M62" s="238"/>
      <c r="N62" s="238"/>
      <c r="O62" s="243"/>
      <c r="R62" s="235">
        <f t="shared" si="4"/>
        <v>9</v>
      </c>
      <c r="S62" s="236"/>
      <c r="T62" s="237"/>
      <c r="U62" s="238"/>
      <c r="V62" s="238"/>
      <c r="W62" s="238"/>
      <c r="X62" s="238"/>
      <c r="Y62" s="238"/>
      <c r="Z62" s="238"/>
      <c r="AA62" s="238"/>
      <c r="AB62" s="238"/>
      <c r="AC62" s="238"/>
      <c r="AD62" s="238"/>
      <c r="AE62" s="238"/>
      <c r="AF62" s="243">
        <f t="shared" si="7"/>
        <v>0</v>
      </c>
    </row>
    <row r="63" spans="1:32" s="67" customFormat="1" outlineLevel="1" x14ac:dyDescent="0.2">
      <c r="A63" s="235">
        <f t="shared" si="6"/>
        <v>10</v>
      </c>
      <c r="B63" s="236"/>
      <c r="C63" s="237"/>
      <c r="D63" s="238"/>
      <c r="E63" s="238"/>
      <c r="F63" s="238"/>
      <c r="G63" s="238"/>
      <c r="H63" s="238"/>
      <c r="I63" s="238"/>
      <c r="J63" s="238"/>
      <c r="K63" s="238"/>
      <c r="L63" s="238"/>
      <c r="M63" s="238"/>
      <c r="N63" s="238"/>
      <c r="O63" s="243"/>
      <c r="R63" s="235">
        <f t="shared" si="4"/>
        <v>10</v>
      </c>
      <c r="S63" s="236"/>
      <c r="T63" s="237"/>
      <c r="U63" s="238"/>
      <c r="V63" s="238"/>
      <c r="W63" s="238"/>
      <c r="X63" s="238"/>
      <c r="Y63" s="238"/>
      <c r="Z63" s="238"/>
      <c r="AA63" s="238"/>
      <c r="AB63" s="238"/>
      <c r="AC63" s="238"/>
      <c r="AD63" s="238"/>
      <c r="AE63" s="238"/>
      <c r="AF63" s="243">
        <f t="shared" si="7"/>
        <v>0</v>
      </c>
    </row>
    <row r="64" spans="1:32" s="67" customFormat="1" outlineLevel="1" x14ac:dyDescent="0.2">
      <c r="A64" s="235">
        <f t="shared" si="6"/>
        <v>11</v>
      </c>
      <c r="B64" s="236"/>
      <c r="C64" s="237"/>
      <c r="D64" s="238"/>
      <c r="E64" s="238"/>
      <c r="F64" s="238"/>
      <c r="G64" s="238"/>
      <c r="H64" s="238"/>
      <c r="I64" s="238"/>
      <c r="J64" s="238"/>
      <c r="K64" s="238"/>
      <c r="L64" s="238"/>
      <c r="M64" s="238"/>
      <c r="N64" s="238"/>
      <c r="O64" s="243"/>
      <c r="R64" s="235">
        <f t="shared" si="4"/>
        <v>11</v>
      </c>
      <c r="S64" s="236"/>
      <c r="T64" s="237"/>
      <c r="U64" s="238"/>
      <c r="V64" s="238"/>
      <c r="W64" s="238"/>
      <c r="X64" s="238"/>
      <c r="Y64" s="238"/>
      <c r="Z64" s="238"/>
      <c r="AA64" s="238"/>
      <c r="AB64" s="238"/>
      <c r="AC64" s="238"/>
      <c r="AD64" s="238"/>
      <c r="AE64" s="238"/>
      <c r="AF64" s="243">
        <f t="shared" si="7"/>
        <v>0</v>
      </c>
    </row>
    <row r="65" spans="1:32" s="67" customFormat="1" ht="16" outlineLevel="1" thickBot="1" x14ac:dyDescent="0.25">
      <c r="A65" s="235">
        <f t="shared" si="6"/>
        <v>12</v>
      </c>
      <c r="B65" s="240" t="s">
        <v>589</v>
      </c>
      <c r="C65" s="246"/>
      <c r="D65" s="247"/>
      <c r="E65" s="247"/>
      <c r="F65" s="247"/>
      <c r="G65" s="247"/>
      <c r="H65" s="247"/>
      <c r="I65" s="247"/>
      <c r="J65" s="247"/>
      <c r="K65" s="247"/>
      <c r="L65" s="247"/>
      <c r="M65" s="247"/>
      <c r="N65" s="242"/>
      <c r="O65" s="243">
        <f t="shared" ref="O65" si="8">(C65+D65)-SUM(E65:N65)</f>
        <v>0</v>
      </c>
      <c r="R65" s="235">
        <f t="shared" si="4"/>
        <v>12</v>
      </c>
      <c r="S65" s="240" t="s">
        <v>589</v>
      </c>
      <c r="T65" s="246">
        <v>0</v>
      </c>
      <c r="U65" s="247">
        <v>0</v>
      </c>
      <c r="V65" s="247">
        <v>500</v>
      </c>
      <c r="W65" s="247">
        <v>1000</v>
      </c>
      <c r="X65" s="247">
        <v>200</v>
      </c>
      <c r="Y65" s="247">
        <v>200</v>
      </c>
      <c r="Z65" s="247">
        <v>200</v>
      </c>
      <c r="AA65" s="247">
        <v>200</v>
      </c>
      <c r="AB65" s="247">
        <v>0</v>
      </c>
      <c r="AC65" s="247">
        <v>1000</v>
      </c>
      <c r="AD65" s="247">
        <v>500</v>
      </c>
      <c r="AE65" s="242">
        <v>500</v>
      </c>
      <c r="AF65" s="243">
        <f t="shared" si="7"/>
        <v>-4300</v>
      </c>
    </row>
    <row r="66" spans="1:32" ht="23.25" customHeight="1" thickBot="1" x14ac:dyDescent="0.25">
      <c r="A66" s="92"/>
      <c r="B66" s="93" t="s">
        <v>680</v>
      </c>
      <c r="C66" s="248">
        <f>SUBTOTAL(9,Tabelle513242864[Teilnahmebeiträge Veranstaltungen])</f>
        <v>0</v>
      </c>
      <c r="D66" s="333">
        <f>SUBTOTAL(9,Tabelle513242864[Sonstige Einnahmen])</f>
        <v>0</v>
      </c>
      <c r="E66" s="334">
        <f>SUBTOTAL(9,Tabelle513242864[Aufwandsentschädigungen])</f>
        <v>0</v>
      </c>
      <c r="F66" s="334">
        <f>SUBTOTAL(9,Tabelle513242864[Interne Reisekosten])</f>
        <v>0</v>
      </c>
      <c r="G66" s="334">
        <f>SUBTOTAL(9,Tabelle513242864[Raum + Unterkunft intern])</f>
        <v>0</v>
      </c>
      <c r="H66" s="334">
        <f>SUBTOTAL(9,Tabelle513242864[Repräsentation/Bewirtung intern])</f>
        <v>0</v>
      </c>
      <c r="I66" s="334">
        <f>SUBTOTAL(9,Tabelle513242864[Repräsentation/Bewirtung extern])</f>
        <v>0</v>
      </c>
      <c r="J66" s="334">
        <f>SUBTOTAL(9,Tabelle513242864[Raum + Unterkunft extern])</f>
        <v>0</v>
      </c>
      <c r="K66" s="334">
        <f>SUBTOTAL(9,Tabelle513242864[Druckkosten])</f>
        <v>0</v>
      </c>
      <c r="L66" s="334">
        <f>SUBTOTAL(9,Tabelle513242864[Sonstige Kosten])</f>
        <v>500</v>
      </c>
      <c r="M66" s="334">
        <f>SUBTOTAL(9,Tabelle513242864[Rechtsangelegenheiten])</f>
        <v>0</v>
      </c>
      <c r="N66" s="334">
        <f>SUBTOTAL(109,Tabelle513242864[Andere Honorare])</f>
        <v>0</v>
      </c>
      <c r="O66" s="617">
        <f>SUBTOTAL(9,Tabelle513242864[Gesamt])</f>
        <v>0</v>
      </c>
      <c r="R66" s="92"/>
      <c r="S66" s="93" t="s">
        <v>680</v>
      </c>
      <c r="T66" s="248">
        <f>SUBTOTAL(9,Tabelle5132428[Teilnahmebeiträge Veranstaltungen])</f>
        <v>0</v>
      </c>
      <c r="U66" s="333">
        <f>SUBTOTAL(9,Tabelle5132428[Sonstige Einnahmen])</f>
        <v>0</v>
      </c>
      <c r="V66" s="334">
        <f>SUBTOTAL(9,Tabelle5132428[Aufwandsentschädigungen])</f>
        <v>500</v>
      </c>
      <c r="W66" s="334">
        <f>SUBTOTAL(9,Tabelle5132428[Interne Reisekosten])</f>
        <v>1000</v>
      </c>
      <c r="X66" s="334">
        <f>SUBTOTAL(9,Tabelle5132428[Raum + Unterkunft intern])</f>
        <v>200</v>
      </c>
      <c r="Y66" s="334">
        <f>SUBTOTAL(9,Tabelle5132428[Repräsentation/Bewirtung intern])</f>
        <v>200</v>
      </c>
      <c r="Z66" s="334">
        <f>SUBTOTAL(9,Tabelle5132428[Repräsentation/Bewirtung extern])</f>
        <v>200</v>
      </c>
      <c r="AA66" s="334">
        <f>SUBTOTAL(9,Tabelle5132428[Raum + Unterkunft extern])</f>
        <v>200</v>
      </c>
      <c r="AB66" s="334">
        <f>SUBTOTAL(9,Tabelle5132428[Druckkosten])</f>
        <v>0</v>
      </c>
      <c r="AC66" s="334">
        <f>SUBTOTAL(9,Tabelle5132428[Sonstige Kosten])</f>
        <v>3500</v>
      </c>
      <c r="AD66" s="334">
        <f>SUBTOTAL(9,Tabelle5132428[Rechtsangelegenheiten])</f>
        <v>1000</v>
      </c>
      <c r="AE66" s="334">
        <f>SUBTOTAL(109,Tabelle5132428[Andere Honorare])</f>
        <v>2500</v>
      </c>
      <c r="AF66" s="617">
        <f>SUBTOTAL(9,Tabelle5132428[Gesamt])</f>
        <v>-9300</v>
      </c>
    </row>
    <row r="67" spans="1:32" ht="19" x14ac:dyDescent="0.25">
      <c r="A67" s="11"/>
      <c r="R67" s="11"/>
    </row>
    <row r="68" spans="1:32" ht="16" x14ac:dyDescent="0.2">
      <c r="A68" s="7"/>
      <c r="B68" s="7" t="s">
        <v>739</v>
      </c>
      <c r="D68" s="6" t="s">
        <v>723</v>
      </c>
      <c r="R68" s="7"/>
      <c r="S68" s="7" t="s">
        <v>739</v>
      </c>
      <c r="U68" s="6" t="s">
        <v>723</v>
      </c>
    </row>
    <row r="69" spans="1:32" ht="20" thickBot="1" x14ac:dyDescent="0.3">
      <c r="A69" s="11"/>
      <c r="R69" s="11"/>
    </row>
    <row r="70" spans="1:32" ht="17" thickTop="1" thickBot="1" x14ac:dyDescent="0.25">
      <c r="A70" s="94"/>
      <c r="B70" s="120"/>
      <c r="C70" s="121"/>
      <c r="D70" s="124" t="s">
        <v>639</v>
      </c>
      <c r="E70" s="95" t="s">
        <v>136</v>
      </c>
      <c r="F70" s="96" t="s">
        <v>244</v>
      </c>
      <c r="G70" s="96" t="s">
        <v>268</v>
      </c>
      <c r="H70" s="96" t="s">
        <v>294</v>
      </c>
      <c r="I70" s="97"/>
      <c r="R70" s="94"/>
      <c r="S70" s="120"/>
      <c r="T70" s="121"/>
      <c r="U70" s="124" t="s">
        <v>639</v>
      </c>
      <c r="V70" s="95" t="s">
        <v>136</v>
      </c>
      <c r="W70" s="96" t="s">
        <v>244</v>
      </c>
      <c r="X70" s="96" t="s">
        <v>268</v>
      </c>
      <c r="Y70" s="96" t="s">
        <v>294</v>
      </c>
      <c r="Z70" s="97"/>
    </row>
    <row r="71" spans="1:32" ht="46" thickBot="1" x14ac:dyDescent="0.25">
      <c r="A71" s="98" t="s">
        <v>740</v>
      </c>
      <c r="B71" s="98" t="s">
        <v>741</v>
      </c>
      <c r="C71" s="123" t="s">
        <v>742</v>
      </c>
      <c r="D71" s="98" t="s">
        <v>543</v>
      </c>
      <c r="E71" s="322" t="s">
        <v>732</v>
      </c>
      <c r="F71" s="323" t="s">
        <v>627</v>
      </c>
      <c r="G71" s="323" t="s">
        <v>733</v>
      </c>
      <c r="H71" s="323" t="s">
        <v>734</v>
      </c>
      <c r="I71" s="324" t="s">
        <v>590</v>
      </c>
      <c r="R71" s="98" t="s">
        <v>740</v>
      </c>
      <c r="S71" s="98" t="s">
        <v>741</v>
      </c>
      <c r="T71" s="123" t="s">
        <v>742</v>
      </c>
      <c r="U71" s="98" t="s">
        <v>543</v>
      </c>
      <c r="V71" s="322" t="s">
        <v>732</v>
      </c>
      <c r="W71" s="323" t="s">
        <v>627</v>
      </c>
      <c r="X71" s="323" t="s">
        <v>733</v>
      </c>
      <c r="Y71" s="323" t="s">
        <v>734</v>
      </c>
      <c r="Z71" s="324" t="s">
        <v>590</v>
      </c>
    </row>
    <row r="72" spans="1:32" s="67" customFormat="1" outlineLevel="1" x14ac:dyDescent="0.2">
      <c r="A72" s="239">
        <f>ROW(A1)</f>
        <v>1</v>
      </c>
      <c r="B72" s="239"/>
      <c r="C72" s="239"/>
      <c r="D72" s="239"/>
      <c r="E72" s="328"/>
      <c r="F72" s="329"/>
      <c r="G72" s="329"/>
      <c r="H72" s="329"/>
      <c r="I72" s="259"/>
      <c r="R72" s="239">
        <f t="shared" ref="R72:R88" si="9">ROW(A1)</f>
        <v>1</v>
      </c>
      <c r="S72" s="239" t="s">
        <v>753</v>
      </c>
      <c r="T72" s="239"/>
      <c r="U72" s="239" t="s">
        <v>748</v>
      </c>
      <c r="V72" s="328">
        <v>700</v>
      </c>
      <c r="W72" s="329">
        <v>1000</v>
      </c>
      <c r="X72" s="329">
        <v>250</v>
      </c>
      <c r="Y72" s="329">
        <v>10</v>
      </c>
      <c r="Z72" s="259">
        <f>SUM(V72:Y72)</f>
        <v>1960</v>
      </c>
    </row>
    <row r="73" spans="1:32" s="67" customFormat="1" outlineLevel="1" x14ac:dyDescent="0.2">
      <c r="A73" s="239">
        <f t="shared" ref="A73:A88" si="10">ROW(A2)</f>
        <v>2</v>
      </c>
      <c r="B73" s="239"/>
      <c r="C73" s="239"/>
      <c r="D73" s="239"/>
      <c r="E73" s="237"/>
      <c r="F73" s="238"/>
      <c r="G73" s="238"/>
      <c r="H73" s="238"/>
      <c r="I73" s="243"/>
      <c r="R73" s="239">
        <f t="shared" si="9"/>
        <v>2</v>
      </c>
      <c r="S73" s="239" t="s">
        <v>753</v>
      </c>
      <c r="T73" s="239"/>
      <c r="U73" s="239" t="s">
        <v>754</v>
      </c>
      <c r="V73" s="237">
        <v>300</v>
      </c>
      <c r="W73" s="238">
        <v>0</v>
      </c>
      <c r="X73" s="238">
        <v>0</v>
      </c>
      <c r="Y73" s="238">
        <v>0</v>
      </c>
      <c r="Z73" s="243">
        <f>SUM(V73:Y73)</f>
        <v>300</v>
      </c>
    </row>
    <row r="74" spans="1:32" s="67" customFormat="1" outlineLevel="1" x14ac:dyDescent="0.2">
      <c r="A74" s="239">
        <f t="shared" si="10"/>
        <v>3</v>
      </c>
      <c r="B74" s="239"/>
      <c r="C74" s="239"/>
      <c r="D74" s="239"/>
      <c r="E74" s="237"/>
      <c r="F74" s="238"/>
      <c r="G74" s="238"/>
      <c r="H74" s="238"/>
      <c r="I74" s="243"/>
      <c r="R74" s="239">
        <f t="shared" si="9"/>
        <v>3</v>
      </c>
      <c r="S74" s="239" t="s">
        <v>753</v>
      </c>
      <c r="T74" s="239"/>
      <c r="U74" s="239" t="s">
        <v>748</v>
      </c>
      <c r="V74" s="237">
        <v>700</v>
      </c>
      <c r="W74" s="238">
        <v>1000</v>
      </c>
      <c r="X74" s="238">
        <v>250</v>
      </c>
      <c r="Y74" s="238">
        <v>10</v>
      </c>
      <c r="Z74" s="243">
        <f>SUM(V74:Y74)</f>
        <v>1960</v>
      </c>
    </row>
    <row r="75" spans="1:32" s="67" customFormat="1" outlineLevel="1" x14ac:dyDescent="0.2">
      <c r="A75" s="239">
        <f t="shared" si="10"/>
        <v>4</v>
      </c>
      <c r="B75" s="239"/>
      <c r="C75" s="239"/>
      <c r="D75" s="239"/>
      <c r="E75" s="237"/>
      <c r="F75" s="238"/>
      <c r="G75" s="238"/>
      <c r="H75" s="238"/>
      <c r="I75" s="243"/>
      <c r="R75" s="239">
        <f t="shared" si="9"/>
        <v>4</v>
      </c>
      <c r="S75" s="239" t="s">
        <v>753</v>
      </c>
      <c r="T75" s="239"/>
      <c r="U75" s="239" t="s">
        <v>754</v>
      </c>
      <c r="V75" s="237">
        <v>300</v>
      </c>
      <c r="W75" s="238">
        <v>0</v>
      </c>
      <c r="X75" s="238">
        <v>0</v>
      </c>
      <c r="Y75" s="238">
        <v>0</v>
      </c>
      <c r="Z75" s="243">
        <f>SUM(V75:Y75)</f>
        <v>300</v>
      </c>
    </row>
    <row r="76" spans="1:32" s="67" customFormat="1" outlineLevel="1" x14ac:dyDescent="0.2">
      <c r="A76" s="239">
        <f t="shared" si="10"/>
        <v>5</v>
      </c>
      <c r="B76" s="239"/>
      <c r="C76" s="239"/>
      <c r="D76" s="239"/>
      <c r="E76" s="237"/>
      <c r="F76" s="238"/>
      <c r="G76" s="238"/>
      <c r="H76" s="238"/>
      <c r="I76" s="243"/>
      <c r="R76" s="239">
        <f t="shared" si="9"/>
        <v>5</v>
      </c>
      <c r="S76" s="239" t="s">
        <v>753</v>
      </c>
      <c r="T76" s="239"/>
      <c r="U76" s="239" t="s">
        <v>754</v>
      </c>
      <c r="V76" s="237">
        <v>300</v>
      </c>
      <c r="W76" s="238">
        <v>0</v>
      </c>
      <c r="X76" s="238">
        <v>0</v>
      </c>
      <c r="Y76" s="238">
        <v>0</v>
      </c>
      <c r="Z76" s="243">
        <f t="shared" ref="Z76:Z77" si="11">SUM(V76:Y76)</f>
        <v>300</v>
      </c>
    </row>
    <row r="77" spans="1:32" s="67" customFormat="1" outlineLevel="1" x14ac:dyDescent="0.2">
      <c r="A77" s="239">
        <f t="shared" si="10"/>
        <v>6</v>
      </c>
      <c r="B77" s="239"/>
      <c r="C77" s="239"/>
      <c r="D77" s="239"/>
      <c r="E77" s="237"/>
      <c r="F77" s="238"/>
      <c r="G77" s="238"/>
      <c r="H77" s="238"/>
      <c r="I77" s="243"/>
      <c r="R77" s="239">
        <f t="shared" si="9"/>
        <v>6</v>
      </c>
      <c r="S77" s="239" t="s">
        <v>753</v>
      </c>
      <c r="T77" s="239"/>
      <c r="U77" s="239" t="s">
        <v>754</v>
      </c>
      <c r="V77" s="237">
        <v>300</v>
      </c>
      <c r="W77" s="238">
        <v>0</v>
      </c>
      <c r="X77" s="238">
        <v>0</v>
      </c>
      <c r="Y77" s="238">
        <v>0</v>
      </c>
      <c r="Z77" s="243">
        <f t="shared" si="11"/>
        <v>300</v>
      </c>
    </row>
    <row r="78" spans="1:32" s="67" customFormat="1" outlineLevel="1" x14ac:dyDescent="0.2">
      <c r="A78" s="239">
        <f t="shared" si="10"/>
        <v>7</v>
      </c>
      <c r="B78" s="239"/>
      <c r="C78" s="239"/>
      <c r="D78" s="239"/>
      <c r="E78" s="237"/>
      <c r="F78" s="238"/>
      <c r="G78" s="238"/>
      <c r="H78" s="238"/>
      <c r="I78" s="243"/>
      <c r="R78" s="239">
        <f t="shared" si="9"/>
        <v>7</v>
      </c>
      <c r="S78" s="239"/>
      <c r="T78" s="239"/>
      <c r="U78" s="239"/>
      <c r="V78" s="237"/>
      <c r="W78" s="238"/>
      <c r="X78" s="238"/>
      <c r="Y78" s="238"/>
      <c r="Z78" s="243"/>
    </row>
    <row r="79" spans="1:32" s="67" customFormat="1" outlineLevel="1" x14ac:dyDescent="0.2">
      <c r="A79" s="239">
        <f t="shared" si="10"/>
        <v>8</v>
      </c>
      <c r="B79" s="239"/>
      <c r="C79" s="239"/>
      <c r="D79" s="239"/>
      <c r="E79" s="237"/>
      <c r="F79" s="238"/>
      <c r="G79" s="238"/>
      <c r="H79" s="238"/>
      <c r="I79" s="243"/>
      <c r="R79" s="239">
        <f t="shared" si="9"/>
        <v>8</v>
      </c>
      <c r="S79" s="239"/>
      <c r="T79" s="239"/>
      <c r="U79" s="239"/>
      <c r="V79" s="237"/>
      <c r="W79" s="238"/>
      <c r="X79" s="238"/>
      <c r="Y79" s="238"/>
      <c r="Z79" s="243"/>
    </row>
    <row r="80" spans="1:32" s="67" customFormat="1" outlineLevel="1" x14ac:dyDescent="0.2">
      <c r="A80" s="239">
        <f t="shared" si="10"/>
        <v>9</v>
      </c>
      <c r="B80" s="239"/>
      <c r="C80" s="239"/>
      <c r="D80" s="239"/>
      <c r="E80" s="237"/>
      <c r="F80" s="238"/>
      <c r="G80" s="238"/>
      <c r="H80" s="238"/>
      <c r="I80" s="243"/>
      <c r="R80" s="239">
        <f t="shared" si="9"/>
        <v>9</v>
      </c>
      <c r="S80" s="239"/>
      <c r="T80" s="239"/>
      <c r="U80" s="239"/>
      <c r="V80" s="237"/>
      <c r="W80" s="238"/>
      <c r="X80" s="238"/>
      <c r="Y80" s="238"/>
      <c r="Z80" s="243"/>
    </row>
    <row r="81" spans="1:26" s="67" customFormat="1" outlineLevel="1" x14ac:dyDescent="0.2">
      <c r="A81" s="239">
        <f t="shared" si="10"/>
        <v>10</v>
      </c>
      <c r="B81" s="239"/>
      <c r="C81" s="239"/>
      <c r="D81" s="239"/>
      <c r="E81" s="237"/>
      <c r="F81" s="238"/>
      <c r="G81" s="238"/>
      <c r="H81" s="238"/>
      <c r="I81" s="243"/>
      <c r="R81" s="239">
        <f t="shared" si="9"/>
        <v>10</v>
      </c>
      <c r="S81" s="239"/>
      <c r="T81" s="239"/>
      <c r="U81" s="239"/>
      <c r="V81" s="237"/>
      <c r="W81" s="238"/>
      <c r="X81" s="238"/>
      <c r="Y81" s="238"/>
      <c r="Z81" s="243"/>
    </row>
    <row r="82" spans="1:26" s="67" customFormat="1" outlineLevel="1" x14ac:dyDescent="0.2">
      <c r="A82" s="239">
        <f t="shared" si="10"/>
        <v>11</v>
      </c>
      <c r="B82" s="239"/>
      <c r="C82" s="239"/>
      <c r="D82" s="239"/>
      <c r="E82" s="237"/>
      <c r="F82" s="238"/>
      <c r="G82" s="238"/>
      <c r="H82" s="238"/>
      <c r="I82" s="243"/>
      <c r="R82" s="239">
        <f t="shared" si="9"/>
        <v>11</v>
      </c>
      <c r="S82" s="239"/>
      <c r="T82" s="239"/>
      <c r="U82" s="239"/>
      <c r="V82" s="237"/>
      <c r="W82" s="238"/>
      <c r="X82" s="238"/>
      <c r="Y82" s="238"/>
      <c r="Z82" s="243"/>
    </row>
    <row r="83" spans="1:26" s="67" customFormat="1" outlineLevel="1" x14ac:dyDescent="0.2">
      <c r="A83" s="239">
        <f t="shared" si="10"/>
        <v>12</v>
      </c>
      <c r="B83" s="239"/>
      <c r="C83" s="239"/>
      <c r="D83" s="239"/>
      <c r="E83" s="237"/>
      <c r="F83" s="238"/>
      <c r="G83" s="238"/>
      <c r="H83" s="238"/>
      <c r="I83" s="243"/>
      <c r="R83" s="239">
        <f t="shared" si="9"/>
        <v>12</v>
      </c>
      <c r="S83" s="239"/>
      <c r="T83" s="239"/>
      <c r="U83" s="239"/>
      <c r="V83" s="237"/>
      <c r="W83" s="238"/>
      <c r="X83" s="238"/>
      <c r="Y83" s="238"/>
      <c r="Z83" s="243"/>
    </row>
    <row r="84" spans="1:26" s="67" customFormat="1" outlineLevel="1" x14ac:dyDescent="0.2">
      <c r="A84" s="239">
        <f t="shared" si="10"/>
        <v>13</v>
      </c>
      <c r="B84" s="239"/>
      <c r="C84" s="239"/>
      <c r="D84" s="239"/>
      <c r="E84" s="237"/>
      <c r="F84" s="238"/>
      <c r="G84" s="238"/>
      <c r="H84" s="238"/>
      <c r="I84" s="243"/>
      <c r="R84" s="239">
        <f t="shared" si="9"/>
        <v>13</v>
      </c>
      <c r="S84" s="239"/>
      <c r="T84" s="239"/>
      <c r="U84" s="239"/>
      <c r="V84" s="237"/>
      <c r="W84" s="238"/>
      <c r="X84" s="238"/>
      <c r="Y84" s="238"/>
      <c r="Z84" s="243"/>
    </row>
    <row r="85" spans="1:26" s="67" customFormat="1" outlineLevel="1" x14ac:dyDescent="0.2">
      <c r="A85" s="239">
        <f t="shared" si="10"/>
        <v>14</v>
      </c>
      <c r="B85" s="239"/>
      <c r="C85" s="239"/>
      <c r="D85" s="239"/>
      <c r="E85" s="237"/>
      <c r="F85" s="238"/>
      <c r="G85" s="238"/>
      <c r="H85" s="238"/>
      <c r="I85" s="243"/>
      <c r="R85" s="239">
        <f t="shared" si="9"/>
        <v>14</v>
      </c>
      <c r="S85" s="239" t="s">
        <v>763</v>
      </c>
      <c r="T85" s="239"/>
      <c r="U85" s="239" t="s">
        <v>748</v>
      </c>
      <c r="V85" s="237">
        <v>300</v>
      </c>
      <c r="W85" s="238">
        <v>1000</v>
      </c>
      <c r="X85" s="238">
        <v>500</v>
      </c>
      <c r="Y85" s="238">
        <v>100</v>
      </c>
      <c r="Z85" s="243">
        <f>SUM(V85:Y85)</f>
        <v>1900</v>
      </c>
    </row>
    <row r="86" spans="1:26" s="67" customFormat="1" outlineLevel="1" x14ac:dyDescent="0.2">
      <c r="A86" s="239">
        <f t="shared" si="10"/>
        <v>15</v>
      </c>
      <c r="B86" s="239"/>
      <c r="C86" s="239"/>
      <c r="D86" s="239"/>
      <c r="E86" s="237"/>
      <c r="F86" s="238"/>
      <c r="G86" s="238"/>
      <c r="H86" s="238"/>
      <c r="I86" s="243">
        <f t="shared" ref="I86:I87" si="12">SUM(E86:H86)</f>
        <v>0</v>
      </c>
      <c r="R86" s="239">
        <f t="shared" si="9"/>
        <v>15</v>
      </c>
      <c r="S86" s="239"/>
      <c r="T86" s="239"/>
      <c r="U86" s="239"/>
      <c r="V86" s="237"/>
      <c r="W86" s="238"/>
      <c r="X86" s="238"/>
      <c r="Y86" s="238"/>
      <c r="Z86" s="243">
        <f t="shared" ref="Z86:Z87" si="13">SUM(V86:Y86)</f>
        <v>0</v>
      </c>
    </row>
    <row r="87" spans="1:26" outlineLevel="1" x14ac:dyDescent="0.2">
      <c r="A87" s="239">
        <f t="shared" si="10"/>
        <v>16</v>
      </c>
      <c r="B87" s="99" t="s">
        <v>749</v>
      </c>
      <c r="C87" s="99"/>
      <c r="D87" s="99"/>
      <c r="E87" s="114">
        <f>Tabelle513242864[[#Totals],[Aufwandsentschädigungen]]</f>
        <v>0</v>
      </c>
      <c r="F87" s="115">
        <f>Tabelle513242864[[#Totals],[Interne Reisekosten]]</f>
        <v>0</v>
      </c>
      <c r="G87" s="115">
        <f>Tabelle513242864[[#Totals],[Raum + Unterkunft intern]]</f>
        <v>0</v>
      </c>
      <c r="H87" s="115">
        <f>Tabelle513242864[[#Totals],[Repräsentation/Bewirtung intern]]</f>
        <v>0</v>
      </c>
      <c r="I87" s="244">
        <f t="shared" si="12"/>
        <v>0</v>
      </c>
      <c r="R87" s="84">
        <f t="shared" si="9"/>
        <v>16</v>
      </c>
      <c r="S87" s="99" t="s">
        <v>749</v>
      </c>
      <c r="T87" s="99"/>
      <c r="U87" s="99"/>
      <c r="V87" s="114">
        <f>Tabelle5132428[[#Totals],[Aufwandsentschädigungen]]</f>
        <v>500</v>
      </c>
      <c r="W87" s="115">
        <f>Tabelle5132428[[#Totals],[Interne Reisekosten]]</f>
        <v>1000</v>
      </c>
      <c r="X87" s="115">
        <f>Tabelle5132428[[#Totals],[Raum + Unterkunft intern]]</f>
        <v>200</v>
      </c>
      <c r="Y87" s="115">
        <f>Tabelle5132428[[#Totals],[Repräsentation/Bewirtung intern]]</f>
        <v>200</v>
      </c>
      <c r="Z87" s="244">
        <f t="shared" si="13"/>
        <v>1900</v>
      </c>
    </row>
    <row r="88" spans="1:26" s="67" customFormat="1" ht="15.75" customHeight="1" outlineLevel="1" thickBot="1" x14ac:dyDescent="0.25">
      <c r="A88" s="239">
        <f t="shared" si="10"/>
        <v>17</v>
      </c>
      <c r="B88" s="240" t="s">
        <v>589</v>
      </c>
      <c r="C88" s="240"/>
      <c r="D88" s="240" t="s">
        <v>750</v>
      </c>
      <c r="E88" s="241"/>
      <c r="F88" s="242"/>
      <c r="G88" s="242"/>
      <c r="H88" s="242"/>
      <c r="I88" s="245"/>
      <c r="R88" s="239">
        <f t="shared" si="9"/>
        <v>17</v>
      </c>
      <c r="S88" s="240" t="s">
        <v>589</v>
      </c>
      <c r="T88" s="240"/>
      <c r="U88" s="240" t="s">
        <v>750</v>
      </c>
      <c r="V88" s="241">
        <v>1000</v>
      </c>
      <c r="W88" s="242">
        <v>2000</v>
      </c>
      <c r="X88" s="242">
        <v>500</v>
      </c>
      <c r="Y88" s="242">
        <v>200</v>
      </c>
      <c r="Z88" s="245">
        <f>SUM(V88:Y88)</f>
        <v>3700</v>
      </c>
    </row>
    <row r="89" spans="1:26" ht="23.25" customHeight="1" thickBot="1" x14ac:dyDescent="0.25">
      <c r="A89" s="84"/>
      <c r="B89" s="84"/>
      <c r="C89" s="84"/>
      <c r="D89" s="93" t="s">
        <v>680</v>
      </c>
      <c r="E89" s="250">
        <f>SUBTOTAL(9,Tabelle615252965[Aufwandsentschädigungen])</f>
        <v>0</v>
      </c>
      <c r="F89" s="334">
        <f>SUBTOTAL(9,Tabelle615252965[Interne Reisekosten])</f>
        <v>0</v>
      </c>
      <c r="G89" s="334">
        <f>SUBTOTAL(9,Tabelle615252965[Raum + Unterkunft intern])</f>
        <v>0</v>
      </c>
      <c r="H89" s="334">
        <f>SUBTOTAL(9,Tabelle615252965[Repräsentation/Bewirtung intern])</f>
        <v>0</v>
      </c>
      <c r="I89" s="618">
        <f>SUBTOTAL(9,Tabelle615252965[Gesamt])</f>
        <v>0</v>
      </c>
      <c r="R89" s="84"/>
      <c r="S89" s="84"/>
      <c r="T89" s="84"/>
      <c r="U89" s="93" t="s">
        <v>680</v>
      </c>
      <c r="V89" s="250">
        <f>SUBTOTAL(9,Tabelle6152529[Aufwandsentschädigungen])</f>
        <v>4400</v>
      </c>
      <c r="W89" s="334">
        <f>SUBTOTAL(9,Tabelle6152529[Interne Reisekosten])</f>
        <v>6000</v>
      </c>
      <c r="X89" s="334">
        <f>SUBTOTAL(9,Tabelle6152529[Raum + Unterkunft intern])</f>
        <v>1700</v>
      </c>
      <c r="Y89" s="334">
        <f>SUBTOTAL(9,Tabelle6152529[Repräsentation/Bewirtung intern])</f>
        <v>520</v>
      </c>
      <c r="Z89" s="331">
        <f>SUBTOTAL(9,Tabelle6152529[Gesamt])</f>
        <v>12620</v>
      </c>
    </row>
  </sheetData>
  <sheetProtection insertRows="0" insertHyperlinks="0" selectLockedCells="1" sort="0" autoFilter="0" pivotTables="0"/>
  <hyperlinks>
    <hyperlink ref="T48" location="ReWi!F5" display="ReWi!F5" xr:uid="{A77C96B6-E324-41D5-8645-7C7AE43CA8B1}"/>
    <hyperlink ref="U48" location="ReWi!F6" display="ReWi!F6" xr:uid="{591436BC-DDEB-4EFD-9D5A-2E724F681C52}"/>
    <hyperlink ref="V48" location="ReWi!F7" display="ReWi!F7" xr:uid="{61846D7A-A3CA-4FFB-8D4A-8B7226166562}"/>
    <hyperlink ref="T66" location="ReWi!F6" display="ReWi!F6" xr:uid="{6B32DB6C-3EDE-4DBF-B61F-3F4C1F6D4CD2}"/>
    <hyperlink ref="U66" location="ReWi!F7" display="ReWi!F7" xr:uid="{668B3F7B-ED06-438D-AD1B-F57EE1BD4102}"/>
    <hyperlink ref="V66" location="ReWi!F11" display="ReWi!F11" xr:uid="{75B56F6A-2D78-47D1-9D03-3AE70A802440}"/>
    <hyperlink ref="V89" location="ReWi!F11" display="ReWi!F11" xr:uid="{DE21D3EA-95AA-47E0-B5A0-0E04AF745F8C}"/>
    <hyperlink ref="W66" location="ReWi!F12" display="ReWi!F12" xr:uid="{7522118D-A4F1-462E-9DB2-7586A31AA6FD}"/>
    <hyperlink ref="W89" location="ReWi!F12" display="ReWi!F12" xr:uid="{7511554C-F438-46AE-96ED-814E3D327EAB}"/>
    <hyperlink ref="X66" location="ReWi!F13" display="ReWi!F13" xr:uid="{E9DA4B3D-6B3E-4AE5-AC79-1E959108896E}"/>
    <hyperlink ref="X89" location="ReWi!F13" display="ReWi!F13" xr:uid="{AB727351-EDE8-469E-8B5A-EAE8996E86C6}"/>
    <hyperlink ref="Y66" location="ReWi!F14" display="ReWi!F14" xr:uid="{E737766A-3CB6-4D2A-AD33-DCD8E1133FCB}"/>
    <hyperlink ref="Y89" location="ReWi!F14" display="ReWi!F14" xr:uid="{AC2CC4FF-C256-4385-87C9-5A77DCAE9D36}"/>
    <hyperlink ref="W48" location="ReWi!F15" display="ReWi!F15" xr:uid="{3EC3CBB4-452E-4EC5-A040-070B26B4B733}"/>
    <hyperlink ref="X48" location="ReWi!F16" display="ReWi!F16" xr:uid="{B3A5B3CF-20C0-47CE-B4DD-8848E3131DF4}"/>
    <hyperlink ref="Z66" location="ReWi!F18" display="ReWi!F18" xr:uid="{F8E924B5-34A0-4D14-AABC-2C1095EE1336}"/>
    <hyperlink ref="AA66" location="ReWi!F19" display="ReWi!F19" xr:uid="{30EE99A1-2431-47D6-A559-78DA7C5D0112}"/>
    <hyperlink ref="AB66" location="ReWi!F20" display="ReWi!F20" xr:uid="{C03A6EFC-E2DC-4E8F-889E-0007F0FE9649}"/>
    <hyperlink ref="Y48" location="ReWi!F17" display="ReWi!F17" xr:uid="{0E60E505-038A-4D4D-983E-57DCA7138C49}"/>
    <hyperlink ref="Z48" location="ReWi!F18" display="ReWi!F18" xr:uid="{231DDBBD-2E48-4C01-8604-9790CC6DEE9E}"/>
    <hyperlink ref="AA48" location="ReWi!F19" display="ReWi!F19" xr:uid="{94DFA756-1C53-48F6-A6E7-34364AD96283}"/>
    <hyperlink ref="AB48" location="ReWi!F20" display="ReWi!F20" xr:uid="{373DD904-05BF-48B1-A740-C02BC966F5DC}"/>
    <hyperlink ref="AC66" location="ReWi!F21" display="ReWi!F21" xr:uid="{68736FF3-1556-431D-9244-D855D04D26C5}"/>
    <hyperlink ref="AD66" location="ReWi!F22" display="ReWi!F22" xr:uid="{C61580DF-EBF6-423E-A391-C7D8923F926C}"/>
    <hyperlink ref="B11" location="Rewi_AE_var" display="AE variabel" xr:uid="{198D087C-AD4E-4BFD-A0E7-989A403BBC49}"/>
    <hyperlink ref="B12" location="Rewi_RK_Int." display="Fahrtkosten und Verpflegungspauschalen" xr:uid="{2AE3BEEF-236C-46DD-B537-548689C057A2}"/>
    <hyperlink ref="B13" location="Rewi_R_U_Int." display="Raum- und Unterkunftskosten" xr:uid="{BF218EC9-A2B6-4AEE-9ED7-6638E302F262}"/>
    <hyperlink ref="B14" location="Rewi_Bew.Int." display="Bewirtung und Repräsentation intern" xr:uid="{1EAC9588-9BE9-4008-AB2B-2C309D65E4A2}"/>
    <hyperlink ref="B15" location="Rewi_Hon_I" display="Honorare Fachseminare" xr:uid="{6C9CEA32-6401-4B25-AF4D-EE21CB4F1D46}"/>
    <hyperlink ref="B16" location="Rewi_Hon_II" display="Andere Honorare" xr:uid="{0C01EA71-5458-49E5-9282-0C36DC7B112A}"/>
    <hyperlink ref="B17" location="Rewi_Ext.RK" display="Ext. Reisekosten" xr:uid="{88267B25-675C-42A5-B88D-593241C6C111}"/>
    <hyperlink ref="B18" location="Rewi_Bew.Ext." display="Bewirtung und Repräsentation extern" xr:uid="{FC52C0F8-060F-431B-8782-450FDA5A0DE6}"/>
    <hyperlink ref="B19" location="Rewi_R_U_Ext." display="Raum- und Unterkunftskosten Seminare und Veranst." xr:uid="{F3B4906F-3110-4916-B6F4-984668BD9D46}"/>
    <hyperlink ref="B20" location="Rewi_Druck" display="Druckkosten" xr:uid="{60C468B7-A4DF-49E5-B983-ED78988858E2}"/>
    <hyperlink ref="B21" location="Rewi_Sonst." display="Sonstige Kosten (Lizenzen, Allg. Geschäftsbetrieb)" xr:uid="{0B3C0CBF-5941-4106-A094-94957BE79705}"/>
    <hyperlink ref="B22" location="Rechtsk.FSen" display="Rechtsangelegenheiten" xr:uid="{807DCDD4-1CEA-4886-8B85-EFFF0FCE4AEA}"/>
    <hyperlink ref="B7" location="Rewi_Sonst_Einnahmen" display="Sonstige Einnahmen (Vorauszahlungen Bewirtung, Werbung, …)" xr:uid="{966EAD2B-95C4-4658-8BFF-BB384A987E58}"/>
    <hyperlink ref="B6" location="Rewi_TN_Beiträge_II" display="Teilnahmebeiträge Veranstaltungen" xr:uid="{199FD94D-D473-4E67-8AA5-CA2767235078}"/>
    <hyperlink ref="B5" location="Rewi_TN_Beiträge_I" display="Teilnahmebeiträge Seminare" xr:uid="{1F21FF6E-15CB-4E87-9DE9-8E4FDDC83C30}"/>
    <hyperlink ref="H11" location="AEFKRewi_413.21" display="AEFKRewi_413.21" xr:uid="{BD082895-AE39-40A7-8AEA-747C8FD50818}"/>
    <hyperlink ref="H12" location="AEFKRewi_527.40" display="AEFKRewi_527.40" xr:uid="{350B446A-625E-4D2D-B647-0D61015200D2}"/>
    <hyperlink ref="H13" location="AEFKRewi_529.40" display="AEFKRewi_529.40" xr:uid="{F9A19537-3149-4582-8510-3D2B5D0E7D0D}"/>
    <hyperlink ref="H14" location="AEFKRewi_531.40" display="AEFKRewi_531.40" xr:uid="{3705DF19-2534-4B13-8C4C-F68934915E96}"/>
    <hyperlink ref="H15" location="SemRewi_551.10" display="SemRewi_551.10" xr:uid="{AA5195E8-29BC-41E9-9E38-D8AEC3916CBA}"/>
    <hyperlink ref="H17" location="SemRewi_551.30" display="SemRewi_551.30" xr:uid="{CDF8540F-EA91-4437-A4D6-0B9499FC12CA}"/>
    <hyperlink ref="H18" location="SemRewi_551.40" display="SemRewi_551.40" xr:uid="{AC4EDC4B-4AC8-4CF0-8077-71A81F0AD155}"/>
    <hyperlink ref="H19" location="SemRewi_551.50" display="SemRewi_551.50" xr:uid="{9672AE40-DE9B-4917-9030-3A32EB4F3B23}"/>
    <hyperlink ref="H20" location="MaßnRewi_551.60" display="MaßnRewi_551.60" xr:uid="{1EDE0395-0496-475E-A4C1-EE36A3A504CE}"/>
    <hyperlink ref="H21" location="MaßnRewi_551.70" display="MaßnRewi_551.70" xr:uid="{1C794D68-C602-4C1A-84FF-24FED1C108EE}"/>
    <hyperlink ref="H22" location="MaßnRewi_560.70" display="MaßnRewi_560.70" xr:uid="{DF729711-DC69-413C-8C5A-C56317391D39}"/>
    <hyperlink ref="H5" location="SemRewi_210.10" display="SemRewi_210.10" xr:uid="{1C8D8166-28F8-4918-922C-888802D99FE7}"/>
    <hyperlink ref="H6" location="MaßnRewi_220.10" display="MaßnRewi_220.10" xr:uid="{E2E00C02-559F-4970-8789-E245C8A878BC}"/>
    <hyperlink ref="H7" location="MaßnRewi_230.10" display="MaßnRewi_230.10" xr:uid="{7669ECD5-E9DB-483F-867F-C6156D6CA542}"/>
    <hyperlink ref="C48" location="ReWi!F5" display="ReWi!F5" xr:uid="{39E22A5E-3762-4C3F-995B-068466EF147D}"/>
    <hyperlink ref="D48" location="ReWi!F6" display="ReWi!F6" xr:uid="{27D012F2-B6DE-4C23-A798-9227D9185CB3}"/>
    <hyperlink ref="E48" location="ReWi!F7" display="ReWi!F7" xr:uid="{7B673858-9C45-4B94-A406-18CBB3B73481}"/>
    <hyperlink ref="C66" location="ReWi!F6" display="ReWi!F6" xr:uid="{A1855710-2B83-421C-8B94-09F59D34FED5}"/>
    <hyperlink ref="D66" location="ReWi!F7" display="ReWi!F7" xr:uid="{76DE53E8-7942-4465-A167-9632A12FF4FC}"/>
    <hyperlink ref="E66" location="ReWi!F11" display="ReWi!F11" xr:uid="{AB2D2A5F-2B90-4CA6-9C39-EB31386ABC77}"/>
    <hyperlink ref="E89" location="ReWi!F11" display="ReWi!F11" xr:uid="{431D7173-2030-4B38-A88D-C5BE24A74EDF}"/>
    <hyperlink ref="F66" location="ReWi!F12" display="ReWi!F12" xr:uid="{162F647E-2056-4680-AB5E-2869EACA9856}"/>
    <hyperlink ref="F89" location="ReWi!F12" display="ReWi!F12" xr:uid="{B2996ACD-7276-4A99-9904-FC0C0B1DC8E5}"/>
    <hyperlink ref="G66" location="ReWi!F13" display="ReWi!F13" xr:uid="{B8F71B4C-0632-4579-8E25-76C30B4BEA05}"/>
    <hyperlink ref="G89" location="ReWi!F13" display="ReWi!F13" xr:uid="{CA3DD5FA-56BC-4385-8D41-467F71AF7A5D}"/>
    <hyperlink ref="H66" location="ReWi!F14" display="ReWi!F14" xr:uid="{C6D37E85-922A-4D33-803C-B69846AB9E6B}"/>
    <hyperlink ref="H89" location="ReWi!F14" display="ReWi!F14" xr:uid="{66E8D20D-4F3E-4C26-9D7C-89837A922E04}"/>
    <hyperlink ref="F48" location="ReWi!F15" display="ReWi!F15" xr:uid="{F4336C96-FBAA-4B45-8A2C-281449FED26B}"/>
    <hyperlink ref="G48" location="ReWi!F16" display="ReWi!F16" xr:uid="{A66016AB-36D4-4EC1-91F3-42C6163744BE}"/>
    <hyperlink ref="I66" location="ReWi!F18" display="ReWi!F18" xr:uid="{CBBB2107-7788-4430-BB4F-54E4A810D496}"/>
    <hyperlink ref="J66" location="ReWi!F19" display="ReWi!F19" xr:uid="{07AE56D8-6D27-404D-95BB-2B3591BBFEE7}"/>
    <hyperlink ref="K66" location="ReWi!F20" display="ReWi!F20" xr:uid="{D9010A4D-02E9-48D4-991B-88097C8A732F}"/>
    <hyperlink ref="H48" location="ReWi!F17" display="ReWi!F17" xr:uid="{2CEEEF4B-7D63-426A-AEBB-4AA1749672CC}"/>
    <hyperlink ref="I48" location="ReWi!F18" display="ReWi!F18" xr:uid="{B3F819AC-F10B-41C5-A1A1-D79D3CFA16AB}"/>
    <hyperlink ref="J48" location="ReWi!F19" display="ReWi!F19" xr:uid="{DFCE3768-C2FB-4FC4-8AA3-0A654A2B9466}"/>
    <hyperlink ref="K48" location="ReWi!F20" display="ReWi!F20" xr:uid="{479D093F-C41A-44CE-AB26-1E81542F4127}"/>
    <hyperlink ref="L66" location="ReWi!F21" display="ReWi!F21" xr:uid="{42F034FB-2C9B-412A-B166-EF731BEB3606}"/>
    <hyperlink ref="M66" location="ReWi!F22" display="ReWi!F22" xr:uid="{C432B6B3-3C45-4F82-A7C7-2D2E99C4B7D1}"/>
  </hyperlinks>
  <pageMargins left="0.7" right="0.7" top="0.78740157499999996" bottom="0.78740157499999996" header="0.3" footer="0.3"/>
  <pageSetup paperSize="9" orientation="landscape" verticalDpi="0" r:id="rId1"/>
  <legacyDrawing r:id="rId2"/>
  <tableParts count="7">
    <tablePart r:id="rId3"/>
    <tablePart r:id="rId4"/>
    <tablePart r:id="rId5"/>
    <tablePart r:id="rId6"/>
    <tablePart r:id="rId7"/>
    <tablePart r:id="rId8"/>
    <tablePart r:id="rId9"/>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401A0-56BE-449E-A357-C6F8D49AF9F0}">
  <sheetPr codeName="Tabelle10"/>
  <dimension ref="A1:AF80"/>
  <sheetViews>
    <sheetView showGridLines="0" zoomScaleNormal="100" workbookViewId="0">
      <selection activeCell="F11" sqref="F11"/>
    </sheetView>
  </sheetViews>
  <sheetFormatPr baseColWidth="10" defaultColWidth="11.5" defaultRowHeight="15" outlineLevelRow="1" x14ac:dyDescent="0.2"/>
  <cols>
    <col min="1" max="1" width="10.33203125" customWidth="1"/>
    <col min="2" max="2" width="29.33203125" customWidth="1"/>
    <col min="3" max="3" width="16.5" customWidth="1"/>
    <col min="4" max="4" width="15.83203125" customWidth="1"/>
    <col min="5" max="5" width="16" customWidth="1"/>
    <col min="6" max="6" width="14" customWidth="1"/>
    <col min="7" max="7" width="12.83203125" customWidth="1"/>
    <col min="8" max="8" width="13.33203125" customWidth="1"/>
    <col min="9" max="9" width="12.1640625" customWidth="1"/>
    <col min="10" max="10" width="13.5" customWidth="1"/>
    <col min="11" max="11" width="12" customWidth="1"/>
  </cols>
  <sheetData>
    <row r="1" spans="1:12" ht="19" x14ac:dyDescent="0.25">
      <c r="A1" s="11"/>
      <c r="B1" s="7" t="s">
        <v>764</v>
      </c>
    </row>
    <row r="2" spans="1:12" ht="19.5" customHeight="1" thickBot="1" x14ac:dyDescent="0.25"/>
    <row r="3" spans="1:12" s="213" customFormat="1" ht="34.5" customHeight="1" thickBot="1" x14ac:dyDescent="0.25">
      <c r="A3" s="214" t="s">
        <v>1</v>
      </c>
      <c r="B3" s="332" t="s">
        <v>4</v>
      </c>
      <c r="C3" s="311" t="s">
        <v>701</v>
      </c>
      <c r="D3" s="312" t="s">
        <v>702</v>
      </c>
      <c r="E3" s="313" t="s">
        <v>703</v>
      </c>
      <c r="F3" s="313" t="s">
        <v>704</v>
      </c>
      <c r="G3" s="946" t="s">
        <v>1350</v>
      </c>
      <c r="H3" s="946" t="s">
        <v>1351</v>
      </c>
      <c r="I3" s="209" t="s">
        <v>705</v>
      </c>
      <c r="J3" s="211" t="s">
        <v>7</v>
      </c>
      <c r="K3" s="212" t="s">
        <v>706</v>
      </c>
      <c r="L3" s="313" t="s">
        <v>707</v>
      </c>
    </row>
    <row r="4" spans="1:12" ht="18.75" customHeight="1" x14ac:dyDescent="0.2">
      <c r="A4" s="152" t="s">
        <v>708</v>
      </c>
      <c r="B4" s="153"/>
      <c r="C4" s="153"/>
      <c r="D4" s="153"/>
      <c r="E4" s="952"/>
      <c r="F4" s="953"/>
      <c r="G4" s="911"/>
      <c r="H4" s="910"/>
      <c r="I4" s="945"/>
      <c r="J4" s="154"/>
      <c r="K4" s="36"/>
      <c r="L4" s="66"/>
    </row>
    <row r="5" spans="1:12" x14ac:dyDescent="0.2">
      <c r="A5" s="155" t="s">
        <v>79</v>
      </c>
      <c r="B5" s="190" t="s">
        <v>633</v>
      </c>
      <c r="C5" s="126"/>
      <c r="D5" s="126"/>
      <c r="E5" s="150">
        <v>15500</v>
      </c>
      <c r="F5" s="929"/>
      <c r="G5" s="923">
        <v>19572.5</v>
      </c>
      <c r="H5" s="913">
        <f>Tabelle410232731[[#Totals],[Teilnahmebeiträge Fachseminare]]</f>
        <v>19572.5</v>
      </c>
      <c r="I5" s="903">
        <v>4500</v>
      </c>
      <c r="J5" s="656">
        <v>2550</v>
      </c>
      <c r="K5" s="156"/>
      <c r="L5" s="126"/>
    </row>
    <row r="6" spans="1:12" x14ac:dyDescent="0.2">
      <c r="A6" s="155" t="s">
        <v>87</v>
      </c>
      <c r="B6" s="190" t="s">
        <v>634</v>
      </c>
      <c r="C6" s="126"/>
      <c r="D6" s="126"/>
      <c r="E6" s="150">
        <v>0</v>
      </c>
      <c r="F6" s="929"/>
      <c r="G6" s="923">
        <v>0</v>
      </c>
      <c r="H6" s="913">
        <f>Tabelle410232731[[#Totals],[Teilnahmebeiträge Veranstaltungen]]+Tabelle513242832[[#Totals],[Teilnahmebeiträge Veranstaltungen]]</f>
        <v>0</v>
      </c>
      <c r="I6" s="903">
        <v>0</v>
      </c>
      <c r="J6" s="656">
        <v>0</v>
      </c>
      <c r="K6" s="156"/>
      <c r="L6" s="126"/>
    </row>
    <row r="7" spans="1:12" ht="16" thickBot="1" x14ac:dyDescent="0.25">
      <c r="A7" s="155" t="s">
        <v>94</v>
      </c>
      <c r="B7" s="190" t="s">
        <v>709</v>
      </c>
      <c r="C7" s="126"/>
      <c r="D7" s="126"/>
      <c r="E7" s="150">
        <v>0</v>
      </c>
      <c r="F7" s="929"/>
      <c r="G7" s="923">
        <v>0</v>
      </c>
      <c r="H7" s="913">
        <f>Tabelle410232731[[#Totals],[Sonstige Einnahmen]]+Tabelle513242832[[#Totals],[Sonstige Einnahmen]]</f>
        <v>0</v>
      </c>
      <c r="I7" s="903">
        <v>0</v>
      </c>
      <c r="J7" s="656">
        <v>0</v>
      </c>
      <c r="K7" s="156"/>
      <c r="L7" s="126"/>
    </row>
    <row r="8" spans="1:12" ht="16" thickBot="1" x14ac:dyDescent="0.25">
      <c r="A8" s="157"/>
      <c r="B8" s="158"/>
      <c r="C8" s="158"/>
      <c r="D8" s="158" t="s">
        <v>566</v>
      </c>
      <c r="E8" s="954">
        <f t="shared" ref="E8:F8" si="0">SUBTOTAL(9,E5:E7)</f>
        <v>15500</v>
      </c>
      <c r="F8" s="148">
        <f t="shared" si="0"/>
        <v>0</v>
      </c>
      <c r="G8" s="964">
        <f>SUBTOTAL(9,G5:G7)</f>
        <v>19572.5</v>
      </c>
      <c r="H8" s="914">
        <f>SUBTOTAL(9,H5:H7)</f>
        <v>19572.5</v>
      </c>
      <c r="I8" s="904">
        <f>SUBTOTAL(9,I5:I7)</f>
        <v>4500</v>
      </c>
      <c r="J8" s="147">
        <f>SUBTOTAL(9,J5:J7)</f>
        <v>2550</v>
      </c>
      <c r="K8" s="159"/>
      <c r="L8" s="314"/>
    </row>
    <row r="9" spans="1:12" ht="18.75" customHeight="1" x14ac:dyDescent="0.2">
      <c r="A9" s="160" t="s">
        <v>119</v>
      </c>
      <c r="B9" s="161"/>
      <c r="C9" s="161"/>
      <c r="D9" s="161"/>
      <c r="E9" s="149"/>
      <c r="F9" s="932"/>
      <c r="G9" s="905"/>
      <c r="H9" s="915"/>
      <c r="I9" s="905"/>
      <c r="J9" s="161"/>
      <c r="K9" s="162"/>
      <c r="L9" s="126"/>
    </row>
    <row r="10" spans="1:12" x14ac:dyDescent="0.2">
      <c r="A10" s="163" t="s">
        <v>134</v>
      </c>
      <c r="B10" s="126" t="s">
        <v>710</v>
      </c>
      <c r="C10" s="126"/>
      <c r="D10" s="126"/>
      <c r="E10" s="150">
        <v>9600</v>
      </c>
      <c r="F10" s="937"/>
      <c r="G10" s="924">
        <v>9600</v>
      </c>
      <c r="H10" s="916">
        <f>800*12</f>
        <v>9600</v>
      </c>
      <c r="I10" s="906">
        <f>800*12</f>
        <v>9600</v>
      </c>
      <c r="J10" s="656">
        <v>9600</v>
      </c>
      <c r="K10" s="156"/>
      <c r="L10" s="126"/>
    </row>
    <row r="11" spans="1:12" x14ac:dyDescent="0.2">
      <c r="A11" s="163" t="s">
        <v>147</v>
      </c>
      <c r="B11" s="190" t="s">
        <v>711</v>
      </c>
      <c r="C11" s="126"/>
      <c r="D11" s="126"/>
      <c r="E11" s="150">
        <v>2400</v>
      </c>
      <c r="F11" s="929"/>
      <c r="G11" s="923">
        <v>2300</v>
      </c>
      <c r="H11" s="913">
        <f>Tabelle615252933[[#Totals],[Aufwandsentschädigungen]]</f>
        <v>2220</v>
      </c>
      <c r="I11" s="903">
        <v>3400</v>
      </c>
      <c r="J11" s="656">
        <v>270</v>
      </c>
      <c r="K11" s="156"/>
      <c r="L11" s="126"/>
    </row>
    <row r="12" spans="1:12" x14ac:dyDescent="0.2">
      <c r="A12" s="163" t="s">
        <v>1190</v>
      </c>
      <c r="B12" s="190" t="s">
        <v>713</v>
      </c>
      <c r="C12" s="126"/>
      <c r="D12" s="126"/>
      <c r="E12" s="150">
        <v>3000</v>
      </c>
      <c r="F12" s="929"/>
      <c r="G12" s="923">
        <v>2000</v>
      </c>
      <c r="H12" s="913">
        <f>Tabelle615252933[[#Totals],[Interne Reisekosten]]</f>
        <v>1900</v>
      </c>
      <c r="I12" s="903">
        <v>4000</v>
      </c>
      <c r="J12" s="656">
        <v>172.05</v>
      </c>
      <c r="K12" s="156"/>
      <c r="L12" s="126"/>
    </row>
    <row r="13" spans="1:12" ht="15" customHeight="1" x14ac:dyDescent="0.2">
      <c r="A13" s="163" t="s">
        <v>280</v>
      </c>
      <c r="B13" s="190" t="s">
        <v>714</v>
      </c>
      <c r="C13" s="164"/>
      <c r="D13" s="164"/>
      <c r="E13" s="955">
        <v>1500</v>
      </c>
      <c r="F13" s="929"/>
      <c r="G13" s="923">
        <v>1150</v>
      </c>
      <c r="H13" s="947">
        <f>Tabelle615252933[[#Totals],[Raum + Unterkunft intern]]</f>
        <v>1150</v>
      </c>
      <c r="I13" s="903">
        <v>1000</v>
      </c>
      <c r="J13" s="657">
        <v>0</v>
      </c>
      <c r="K13" s="165"/>
      <c r="L13" s="126"/>
    </row>
    <row r="14" spans="1:12" x14ac:dyDescent="0.2">
      <c r="A14" s="163" t="s">
        <v>302</v>
      </c>
      <c r="B14" s="192" t="s">
        <v>715</v>
      </c>
      <c r="C14" s="66"/>
      <c r="D14" s="66"/>
      <c r="E14" s="956">
        <v>250</v>
      </c>
      <c r="F14" s="929"/>
      <c r="G14" s="923">
        <v>650</v>
      </c>
      <c r="H14" s="948">
        <f>Tabelle615252933[[#Totals],[Repräsentation/Bewirtung intern]]</f>
        <v>650</v>
      </c>
      <c r="I14" s="903">
        <v>250</v>
      </c>
      <c r="J14" s="658">
        <v>0</v>
      </c>
      <c r="K14" s="166"/>
      <c r="L14" s="66"/>
    </row>
    <row r="15" spans="1:12" x14ac:dyDescent="0.2">
      <c r="A15" s="163" t="s">
        <v>348</v>
      </c>
      <c r="B15" s="190" t="s">
        <v>716</v>
      </c>
      <c r="C15" s="126"/>
      <c r="D15" s="126"/>
      <c r="E15" s="150">
        <v>15000</v>
      </c>
      <c r="F15" s="937"/>
      <c r="G15" s="923">
        <v>17200</v>
      </c>
      <c r="H15" s="913">
        <f>Tabelle410232731[[#Totals],[Honorare Dozierende Fachseminare]]</f>
        <v>17152.5</v>
      </c>
      <c r="I15" s="903">
        <v>11200</v>
      </c>
      <c r="J15" s="656">
        <v>17613.75</v>
      </c>
      <c r="K15" s="156"/>
      <c r="L15" s="126"/>
    </row>
    <row r="16" spans="1:12" x14ac:dyDescent="0.2">
      <c r="A16" s="163" t="s">
        <v>359</v>
      </c>
      <c r="B16" s="191" t="s">
        <v>323</v>
      </c>
      <c r="C16" s="66"/>
      <c r="D16" s="66"/>
      <c r="E16" s="956">
        <v>0</v>
      </c>
      <c r="F16" s="929"/>
      <c r="G16" s="923">
        <v>1000</v>
      </c>
      <c r="H16" s="919">
        <f>Tabelle513242832[[#Totals],[Andere Honorare]]</f>
        <v>1000</v>
      </c>
      <c r="I16" s="903">
        <v>1800</v>
      </c>
      <c r="J16" s="658">
        <v>0</v>
      </c>
      <c r="K16" s="166"/>
      <c r="L16" s="66"/>
    </row>
    <row r="17" spans="1:12" x14ac:dyDescent="0.2">
      <c r="A17" s="163" t="s">
        <v>366</v>
      </c>
      <c r="B17" s="191" t="s">
        <v>717</v>
      </c>
      <c r="C17" s="66"/>
      <c r="D17" s="66"/>
      <c r="E17" s="956">
        <v>0</v>
      </c>
      <c r="F17" s="937"/>
      <c r="G17" s="923">
        <v>200</v>
      </c>
      <c r="H17" s="919">
        <f>Tabelle410232731[[#Totals],[Externe Reisekosten]]</f>
        <v>200</v>
      </c>
      <c r="I17" s="903">
        <v>2000</v>
      </c>
      <c r="J17" s="658">
        <v>0</v>
      </c>
      <c r="K17" s="166"/>
      <c r="L17" s="66"/>
    </row>
    <row r="18" spans="1:12" x14ac:dyDescent="0.2">
      <c r="A18" s="163" t="s">
        <v>1191</v>
      </c>
      <c r="B18" s="191" t="s">
        <v>368</v>
      </c>
      <c r="C18" s="66"/>
      <c r="D18" s="66"/>
      <c r="E18" s="956">
        <v>250</v>
      </c>
      <c r="F18" s="937"/>
      <c r="G18" s="923">
        <v>250</v>
      </c>
      <c r="H18" s="919">
        <f>Tabelle410232731[[#Totals],[Repräsentation/Bewirtung extern]]+Tabelle513242832[[#Totals],[Repräsentation/Bewirtung extern]]</f>
        <v>310</v>
      </c>
      <c r="I18" s="903">
        <v>200</v>
      </c>
      <c r="J18" s="658">
        <v>0</v>
      </c>
      <c r="K18" s="166"/>
      <c r="L18" s="66"/>
    </row>
    <row r="19" spans="1:12" x14ac:dyDescent="0.2">
      <c r="A19" s="163" t="s">
        <v>377</v>
      </c>
      <c r="B19" s="191" t="s">
        <v>718</v>
      </c>
      <c r="C19" s="66"/>
      <c r="D19" s="66"/>
      <c r="E19" s="956">
        <v>250</v>
      </c>
      <c r="F19" s="937"/>
      <c r="G19" s="923">
        <v>100</v>
      </c>
      <c r="H19" s="919">
        <f>Tabelle410232731[[#Totals],[Raum + Unterkunft extern]]+Tabelle513242832[[#Totals],[Raum + Unterkunft extern]]</f>
        <v>100</v>
      </c>
      <c r="I19" s="903">
        <v>1500</v>
      </c>
      <c r="J19" s="658">
        <v>0</v>
      </c>
      <c r="K19" s="166"/>
      <c r="L19" s="66"/>
    </row>
    <row r="20" spans="1:12" x14ac:dyDescent="0.2">
      <c r="A20" s="163" t="s">
        <v>399</v>
      </c>
      <c r="B20" s="192" t="s">
        <v>1213</v>
      </c>
      <c r="C20" s="66"/>
      <c r="D20" s="66"/>
      <c r="E20" s="956">
        <v>0</v>
      </c>
      <c r="F20" s="937"/>
      <c r="G20" s="923">
        <v>900</v>
      </c>
      <c r="H20" s="948">
        <f>Tabelle410232731[[#Totals],[Verwaltungs- und Druckkosten]]+Tabelle513242832[[#Totals],[Druckkosten]]</f>
        <v>900</v>
      </c>
      <c r="I20" s="903">
        <v>0</v>
      </c>
      <c r="J20" s="658">
        <v>0</v>
      </c>
      <c r="K20" s="166"/>
      <c r="L20" s="66"/>
    </row>
    <row r="21" spans="1:12" x14ac:dyDescent="0.2">
      <c r="A21" s="163" t="s">
        <v>411</v>
      </c>
      <c r="B21" s="192" t="s">
        <v>402</v>
      </c>
      <c r="C21" s="66"/>
      <c r="D21" s="66"/>
      <c r="E21" s="956">
        <v>500</v>
      </c>
      <c r="F21" s="937"/>
      <c r="G21" s="923">
        <v>1250</v>
      </c>
      <c r="H21" s="948">
        <f>Tabelle513242832[[#Totals],[Sonstige Kosten]]</f>
        <v>1250</v>
      </c>
      <c r="I21" s="903">
        <v>1500</v>
      </c>
      <c r="J21" s="658">
        <v>149.83000000000001</v>
      </c>
      <c r="K21" s="166"/>
      <c r="L21" s="66"/>
    </row>
    <row r="22" spans="1:12" ht="16" thickBot="1" x14ac:dyDescent="0.25">
      <c r="A22" s="163" t="s">
        <v>431</v>
      </c>
      <c r="B22" s="192" t="s">
        <v>658</v>
      </c>
      <c r="C22" s="66"/>
      <c r="D22" s="66"/>
      <c r="E22" s="956">
        <v>250</v>
      </c>
      <c r="F22" s="937"/>
      <c r="G22" s="970">
        <v>750</v>
      </c>
      <c r="H22" s="963">
        <f>Tabelle513242832[[#Totals],[Rechtsangelegenheiten]]</f>
        <v>750</v>
      </c>
      <c r="I22" s="907">
        <v>250</v>
      </c>
      <c r="J22" s="658">
        <v>0</v>
      </c>
      <c r="K22" s="166"/>
      <c r="L22" s="66"/>
    </row>
    <row r="23" spans="1:12" ht="16" thickBot="1" x14ac:dyDescent="0.25">
      <c r="A23" s="167"/>
      <c r="B23" s="168"/>
      <c r="C23" s="168"/>
      <c r="D23" s="169" t="s">
        <v>566</v>
      </c>
      <c r="E23" s="174">
        <f t="shared" ref="E23:H23" si="1">SUBTOTAL(109,E10:E22)</f>
        <v>33000</v>
      </c>
      <c r="F23" s="951">
        <f>SUBTOTAL(109,F11:F22)</f>
        <v>0</v>
      </c>
      <c r="G23" s="908">
        <f t="shared" si="1"/>
        <v>37350</v>
      </c>
      <c r="H23" s="151">
        <f t="shared" si="1"/>
        <v>37182.5</v>
      </c>
      <c r="I23" s="151">
        <f>SUBTOTAL(109,I10:I22)</f>
        <v>36700</v>
      </c>
      <c r="J23" s="151">
        <f>SUBTOTAL(109,J10:J22)</f>
        <v>27805.63</v>
      </c>
      <c r="K23" s="170"/>
      <c r="L23" s="612"/>
    </row>
    <row r="24" spans="1:12" ht="16" thickBot="1" x14ac:dyDescent="0.25">
      <c r="A24" s="64"/>
      <c r="B24" s="66"/>
      <c r="C24" s="66"/>
      <c r="D24" s="66"/>
      <c r="E24" s="66"/>
      <c r="F24" s="66"/>
      <c r="G24" s="66"/>
      <c r="H24" s="66"/>
    </row>
    <row r="25" spans="1:12" ht="16" thickBot="1" x14ac:dyDescent="0.25">
      <c r="A25" s="64"/>
      <c r="B25" s="66"/>
      <c r="C25" s="66"/>
      <c r="D25" s="172" t="s">
        <v>719</v>
      </c>
      <c r="E25" s="173">
        <f>E8-Tabelle1822263034[[#Totals],[Freie Eingabe Plan HHJ 22-23]]</f>
        <v>-17500</v>
      </c>
      <c r="F25" s="315">
        <f>F8-Tabelle1822263034[[#Totals],[Rechnung HHJ 22-23]]</f>
        <v>0</v>
      </c>
      <c r="G25" s="315">
        <f>I8-Tabelle1822263034[[#Totals],[Freie Eingabe Plan HHJ 21-22]]</f>
        <v>-32200</v>
      </c>
      <c r="H25" s="315"/>
      <c r="I25" s="315"/>
      <c r="J25" s="315"/>
      <c r="K25" s="315"/>
    </row>
    <row r="26" spans="1:12" x14ac:dyDescent="0.2">
      <c r="A26" s="63"/>
      <c r="B26" s="62"/>
      <c r="C26" s="62"/>
      <c r="D26" s="62"/>
      <c r="E26" s="62"/>
      <c r="F26" s="62"/>
      <c r="G26" s="62"/>
      <c r="H26" s="62"/>
    </row>
    <row r="27" spans="1:12" ht="16" x14ac:dyDescent="0.2">
      <c r="B27" s="100" t="s">
        <v>720</v>
      </c>
      <c r="C27" s="62"/>
      <c r="D27" s="62"/>
      <c r="E27" s="74"/>
      <c r="F27" s="62"/>
      <c r="G27" s="62"/>
      <c r="H27" s="62"/>
    </row>
    <row r="28" spans="1:12" ht="16" x14ac:dyDescent="0.2">
      <c r="B28" s="63" t="s">
        <v>721</v>
      </c>
      <c r="C28" s="62"/>
      <c r="D28" s="62"/>
      <c r="E28" s="74"/>
      <c r="F28" s="62"/>
      <c r="G28" s="62"/>
      <c r="H28" s="62"/>
    </row>
    <row r="29" spans="1:12" x14ac:dyDescent="0.2">
      <c r="B29" s="63" t="s">
        <v>722</v>
      </c>
      <c r="C29" s="66"/>
      <c r="D29" s="66"/>
      <c r="E29" s="75"/>
      <c r="F29" s="66"/>
      <c r="G29" s="66"/>
      <c r="H29" s="66"/>
    </row>
    <row r="30" spans="1:12" x14ac:dyDescent="0.2">
      <c r="A30" s="64"/>
      <c r="B30" s="66"/>
      <c r="C30" s="66"/>
      <c r="D30" s="66"/>
      <c r="E30" s="75"/>
      <c r="F30" s="66"/>
      <c r="G30" s="66"/>
      <c r="H30" s="66"/>
    </row>
    <row r="31" spans="1:12" x14ac:dyDescent="0.2">
      <c r="A31" s="63"/>
      <c r="B31" s="62"/>
      <c r="C31" s="62"/>
      <c r="D31" s="62"/>
      <c r="E31" s="62"/>
      <c r="F31" s="62"/>
      <c r="G31" s="62"/>
      <c r="H31" s="62"/>
    </row>
    <row r="32" spans="1:12" ht="16" x14ac:dyDescent="0.2">
      <c r="A32" s="7"/>
      <c r="B32" s="7" t="s">
        <v>1215</v>
      </c>
      <c r="D32" s="6" t="s">
        <v>723</v>
      </c>
    </row>
    <row r="33" spans="1:31" ht="17" thickBot="1" x14ac:dyDescent="0.25">
      <c r="A33" s="7"/>
      <c r="B33" s="942" t="s">
        <v>1352</v>
      </c>
    </row>
    <row r="34" spans="1:31" ht="16" thickBot="1" x14ac:dyDescent="0.25">
      <c r="A34" s="316"/>
      <c r="B34" s="317" t="s">
        <v>639</v>
      </c>
      <c r="C34" s="318" t="s">
        <v>79</v>
      </c>
      <c r="D34" s="319" t="s">
        <v>87</v>
      </c>
      <c r="E34" s="319" t="s">
        <v>94</v>
      </c>
      <c r="F34" s="320" t="s">
        <v>348</v>
      </c>
      <c r="G34" s="320"/>
      <c r="H34" s="320" t="s">
        <v>366</v>
      </c>
      <c r="I34" s="320" t="s">
        <v>1191</v>
      </c>
      <c r="J34" s="320" t="s">
        <v>377</v>
      </c>
      <c r="K34" s="320" t="s">
        <v>399</v>
      </c>
      <c r="L34" s="321"/>
      <c r="R34" s="316"/>
      <c r="S34" s="317" t="s">
        <v>639</v>
      </c>
      <c r="T34" s="318" t="s">
        <v>79</v>
      </c>
      <c r="U34" s="319" t="s">
        <v>87</v>
      </c>
      <c r="V34" s="319" t="s">
        <v>94</v>
      </c>
      <c r="W34" s="320" t="s">
        <v>348</v>
      </c>
      <c r="X34" s="320"/>
      <c r="Y34" s="320" t="s">
        <v>366</v>
      </c>
      <c r="Z34" s="320" t="s">
        <v>1191</v>
      </c>
      <c r="AA34" s="320" t="s">
        <v>377</v>
      </c>
      <c r="AB34" s="320" t="s">
        <v>399</v>
      </c>
      <c r="AC34" s="321"/>
    </row>
    <row r="35" spans="1:31" ht="61" thickBot="1" x14ac:dyDescent="0.25">
      <c r="A35" s="81" t="s">
        <v>724</v>
      </c>
      <c r="B35" s="119" t="s">
        <v>725</v>
      </c>
      <c r="C35" s="322" t="s">
        <v>726</v>
      </c>
      <c r="D35" s="323" t="s">
        <v>634</v>
      </c>
      <c r="E35" s="323" t="s">
        <v>727</v>
      </c>
      <c r="F35" s="323" t="s">
        <v>320</v>
      </c>
      <c r="G35" s="323" t="s">
        <v>732</v>
      </c>
      <c r="H35" s="323" t="s">
        <v>326</v>
      </c>
      <c r="I35" s="323" t="s">
        <v>728</v>
      </c>
      <c r="J35" s="323" t="s">
        <v>729</v>
      </c>
      <c r="K35" s="323" t="s">
        <v>1206</v>
      </c>
      <c r="L35" s="324" t="s">
        <v>590</v>
      </c>
      <c r="R35" s="81" t="s">
        <v>724</v>
      </c>
      <c r="S35" s="119" t="s">
        <v>725</v>
      </c>
      <c r="T35" s="322" t="s">
        <v>726</v>
      </c>
      <c r="U35" s="323" t="s">
        <v>634</v>
      </c>
      <c r="V35" s="323" t="s">
        <v>727</v>
      </c>
      <c r="W35" s="323" t="s">
        <v>320</v>
      </c>
      <c r="X35" s="323" t="s">
        <v>732</v>
      </c>
      <c r="Y35" s="323" t="s">
        <v>326</v>
      </c>
      <c r="Z35" s="323" t="s">
        <v>728</v>
      </c>
      <c r="AA35" s="323" t="s">
        <v>729</v>
      </c>
      <c r="AB35" s="323" t="s">
        <v>1206</v>
      </c>
      <c r="AC35" s="324" t="s">
        <v>590</v>
      </c>
    </row>
    <row r="36" spans="1:31" s="67" customFormat="1" ht="183.75" customHeight="1" outlineLevel="1" x14ac:dyDescent="0.2">
      <c r="A36" s="76">
        <f>ROW(A1)</f>
        <v>1</v>
      </c>
      <c r="B36" s="606" t="s">
        <v>1239</v>
      </c>
      <c r="C36" s="325"/>
      <c r="D36" s="267"/>
      <c r="E36" s="267"/>
      <c r="F36" s="267"/>
      <c r="G36" s="267"/>
      <c r="H36" s="267"/>
      <c r="I36" s="267"/>
      <c r="J36" s="267"/>
      <c r="K36" s="267"/>
      <c r="L36" s="271">
        <f>SUM(C36:E36)-SUM(F36:K36)</f>
        <v>0</v>
      </c>
      <c r="N36" s="604" t="s">
        <v>1259</v>
      </c>
      <c r="R36" s="76">
        <f t="shared" ref="R36:R45" si="2">ROW(A1)</f>
        <v>1</v>
      </c>
      <c r="S36" s="606" t="s">
        <v>1239</v>
      </c>
      <c r="T36" s="325"/>
      <c r="U36" s="267"/>
      <c r="V36" s="267"/>
      <c r="W36" s="267"/>
      <c r="X36" s="267"/>
      <c r="Y36" s="267"/>
      <c r="Z36" s="267"/>
      <c r="AA36" s="267"/>
      <c r="AB36" s="267"/>
      <c r="AC36" s="271">
        <f>SUM(T36:V36)-SUM(W36:AB36)</f>
        <v>0</v>
      </c>
      <c r="AE36" s="604" t="s">
        <v>1259</v>
      </c>
    </row>
    <row r="37" spans="1:31" s="67" customFormat="1" ht="144" customHeight="1" outlineLevel="1" x14ac:dyDescent="0.2">
      <c r="A37" s="76">
        <f t="shared" ref="A37:A45" si="3">ROW(A2)</f>
        <v>2</v>
      </c>
      <c r="B37" s="249" t="s">
        <v>1238</v>
      </c>
      <c r="C37" s="101">
        <v>11586</v>
      </c>
      <c r="D37" s="102"/>
      <c r="E37" s="102"/>
      <c r="F37" s="102">
        <v>10560</v>
      </c>
      <c r="G37" s="102">
        <v>546</v>
      </c>
      <c r="H37" s="102">
        <v>0</v>
      </c>
      <c r="I37" s="102">
        <v>60</v>
      </c>
      <c r="J37" s="102">
        <v>0</v>
      </c>
      <c r="K37" s="102">
        <v>420</v>
      </c>
      <c r="L37" s="103">
        <f t="shared" ref="L37:L45" si="4">SUM(C37:E37)-SUM(F37:K37)</f>
        <v>0</v>
      </c>
      <c r="R37" s="76">
        <f t="shared" si="2"/>
        <v>2</v>
      </c>
      <c r="S37" s="249" t="s">
        <v>1238</v>
      </c>
      <c r="T37" s="101">
        <v>11586</v>
      </c>
      <c r="U37" s="102"/>
      <c r="V37" s="102"/>
      <c r="W37" s="102">
        <v>10560</v>
      </c>
      <c r="X37" s="102">
        <v>546</v>
      </c>
      <c r="Y37" s="102">
        <v>0</v>
      </c>
      <c r="Z37" s="102">
        <v>60</v>
      </c>
      <c r="AA37" s="102">
        <v>0</v>
      </c>
      <c r="AB37" s="102">
        <v>420</v>
      </c>
      <c r="AC37" s="103">
        <f t="shared" ref="AC37:AC45" si="5">SUM(T37:V37)-SUM(W37:AB37)</f>
        <v>0</v>
      </c>
    </row>
    <row r="38" spans="1:31" s="67" customFormat="1" ht="121.5" customHeight="1" outlineLevel="1" x14ac:dyDescent="0.2">
      <c r="A38" s="76">
        <f t="shared" si="3"/>
        <v>3</v>
      </c>
      <c r="B38" s="249" t="s">
        <v>1237</v>
      </c>
      <c r="C38" s="101">
        <v>2634</v>
      </c>
      <c r="D38" s="102"/>
      <c r="E38" s="102"/>
      <c r="F38" s="102">
        <v>2392.5</v>
      </c>
      <c r="G38" s="102">
        <v>136.5</v>
      </c>
      <c r="H38" s="102">
        <v>0</v>
      </c>
      <c r="I38" s="102">
        <v>0</v>
      </c>
      <c r="J38" s="102">
        <v>0</v>
      </c>
      <c r="K38" s="102">
        <v>105</v>
      </c>
      <c r="L38" s="103">
        <f t="shared" si="4"/>
        <v>0</v>
      </c>
      <c r="R38" s="76">
        <f t="shared" si="2"/>
        <v>3</v>
      </c>
      <c r="S38" s="249" t="s">
        <v>1237</v>
      </c>
      <c r="T38" s="101">
        <v>2634</v>
      </c>
      <c r="U38" s="102"/>
      <c r="V38" s="102"/>
      <c r="W38" s="102">
        <v>2392.5</v>
      </c>
      <c r="X38" s="102">
        <v>136.5</v>
      </c>
      <c r="Y38" s="102">
        <v>0</v>
      </c>
      <c r="Z38" s="102">
        <v>0</v>
      </c>
      <c r="AA38" s="102">
        <v>0</v>
      </c>
      <c r="AB38" s="102">
        <v>105</v>
      </c>
      <c r="AC38" s="103">
        <f t="shared" si="5"/>
        <v>0</v>
      </c>
    </row>
    <row r="39" spans="1:31" s="67" customFormat="1" ht="142.5" customHeight="1" outlineLevel="1" x14ac:dyDescent="0.2">
      <c r="A39" s="76">
        <f t="shared" si="3"/>
        <v>4</v>
      </c>
      <c r="B39" s="249" t="s">
        <v>1255</v>
      </c>
      <c r="C39" s="101">
        <v>2602.5</v>
      </c>
      <c r="D39" s="102"/>
      <c r="E39" s="102"/>
      <c r="F39" s="102">
        <v>2200</v>
      </c>
      <c r="G39" s="102">
        <v>227.5</v>
      </c>
      <c r="H39" s="102">
        <v>0</v>
      </c>
      <c r="I39" s="102">
        <v>0</v>
      </c>
      <c r="J39" s="102">
        <v>0</v>
      </c>
      <c r="K39" s="102">
        <v>175</v>
      </c>
      <c r="L39" s="103">
        <f t="shared" si="4"/>
        <v>0</v>
      </c>
      <c r="R39" s="76">
        <f t="shared" si="2"/>
        <v>4</v>
      </c>
      <c r="S39" s="249" t="s">
        <v>1255</v>
      </c>
      <c r="T39" s="101">
        <v>2602.5</v>
      </c>
      <c r="U39" s="102"/>
      <c r="V39" s="102"/>
      <c r="W39" s="102">
        <v>2200</v>
      </c>
      <c r="X39" s="102">
        <v>227.5</v>
      </c>
      <c r="Y39" s="102">
        <v>0</v>
      </c>
      <c r="Z39" s="102">
        <v>0</v>
      </c>
      <c r="AA39" s="102">
        <v>0</v>
      </c>
      <c r="AB39" s="102">
        <v>175</v>
      </c>
      <c r="AC39" s="103">
        <f t="shared" si="5"/>
        <v>0</v>
      </c>
    </row>
    <row r="40" spans="1:31" s="67" customFormat="1" outlineLevel="1" x14ac:dyDescent="0.2">
      <c r="A40" s="76">
        <f t="shared" si="3"/>
        <v>5</v>
      </c>
      <c r="B40" s="249"/>
      <c r="C40" s="101"/>
      <c r="D40" s="102"/>
      <c r="E40" s="102"/>
      <c r="F40" s="102"/>
      <c r="G40" s="102"/>
      <c r="H40" s="102"/>
      <c r="I40" s="102"/>
      <c r="J40" s="102"/>
      <c r="K40" s="102"/>
      <c r="L40" s="103">
        <f t="shared" si="4"/>
        <v>0</v>
      </c>
      <c r="R40" s="76">
        <f t="shared" si="2"/>
        <v>5</v>
      </c>
      <c r="S40" s="249"/>
      <c r="T40" s="101"/>
      <c r="U40" s="102"/>
      <c r="V40" s="102"/>
      <c r="W40" s="102"/>
      <c r="X40" s="102"/>
      <c r="Y40" s="102"/>
      <c r="Z40" s="102"/>
      <c r="AA40" s="102"/>
      <c r="AB40" s="102"/>
      <c r="AC40" s="103">
        <f t="shared" si="5"/>
        <v>0</v>
      </c>
    </row>
    <row r="41" spans="1:31" s="67" customFormat="1" outlineLevel="1" x14ac:dyDescent="0.2">
      <c r="A41" s="76">
        <f t="shared" si="3"/>
        <v>6</v>
      </c>
      <c r="B41" s="249"/>
      <c r="C41" s="101"/>
      <c r="D41" s="102"/>
      <c r="E41" s="102"/>
      <c r="F41" s="102"/>
      <c r="G41" s="102"/>
      <c r="H41" s="102"/>
      <c r="I41" s="102"/>
      <c r="J41" s="102"/>
      <c r="K41" s="102"/>
      <c r="L41" s="103">
        <f t="shared" si="4"/>
        <v>0</v>
      </c>
      <c r="R41" s="76">
        <f t="shared" si="2"/>
        <v>6</v>
      </c>
      <c r="S41" s="249"/>
      <c r="T41" s="101"/>
      <c r="U41" s="102"/>
      <c r="V41" s="102"/>
      <c r="W41" s="102"/>
      <c r="X41" s="102"/>
      <c r="Y41" s="102"/>
      <c r="Z41" s="102"/>
      <c r="AA41" s="102"/>
      <c r="AB41" s="102"/>
      <c r="AC41" s="103">
        <f t="shared" si="5"/>
        <v>0</v>
      </c>
    </row>
    <row r="42" spans="1:31" s="67" customFormat="1" outlineLevel="1" x14ac:dyDescent="0.2">
      <c r="A42" s="76">
        <f t="shared" si="3"/>
        <v>7</v>
      </c>
      <c r="B42" s="260"/>
      <c r="C42" s="104"/>
      <c r="D42" s="105"/>
      <c r="E42" s="105"/>
      <c r="F42" s="105"/>
      <c r="G42" s="105"/>
      <c r="H42" s="105"/>
      <c r="I42" s="105"/>
      <c r="J42" s="105"/>
      <c r="K42" s="105"/>
      <c r="L42" s="103">
        <f t="shared" si="4"/>
        <v>0</v>
      </c>
      <c r="R42" s="76">
        <f t="shared" si="2"/>
        <v>7</v>
      </c>
      <c r="S42" s="260"/>
      <c r="T42" s="104"/>
      <c r="U42" s="105"/>
      <c r="V42" s="105"/>
      <c r="W42" s="105"/>
      <c r="X42" s="105"/>
      <c r="Y42" s="105"/>
      <c r="Z42" s="105"/>
      <c r="AA42" s="105"/>
      <c r="AB42" s="105"/>
      <c r="AC42" s="103">
        <f t="shared" si="5"/>
        <v>0</v>
      </c>
    </row>
    <row r="43" spans="1:31" s="67" customFormat="1" outlineLevel="1" x14ac:dyDescent="0.2">
      <c r="A43" s="76">
        <f t="shared" si="3"/>
        <v>8</v>
      </c>
      <c r="B43" s="249"/>
      <c r="C43" s="101"/>
      <c r="D43" s="102"/>
      <c r="E43" s="102"/>
      <c r="F43" s="102"/>
      <c r="G43" s="102"/>
      <c r="H43" s="102"/>
      <c r="I43" s="102"/>
      <c r="J43" s="102"/>
      <c r="K43" s="102"/>
      <c r="L43" s="103">
        <f t="shared" si="4"/>
        <v>0</v>
      </c>
      <c r="R43" s="76">
        <f t="shared" si="2"/>
        <v>8</v>
      </c>
      <c r="S43" s="249"/>
      <c r="T43" s="101"/>
      <c r="U43" s="102"/>
      <c r="V43" s="102"/>
      <c r="W43" s="102"/>
      <c r="X43" s="102"/>
      <c r="Y43" s="102"/>
      <c r="Z43" s="102"/>
      <c r="AA43" s="102"/>
      <c r="AB43" s="102"/>
      <c r="AC43" s="103">
        <f t="shared" si="5"/>
        <v>0</v>
      </c>
    </row>
    <row r="44" spans="1:31" s="67" customFormat="1" outlineLevel="1" x14ac:dyDescent="0.2">
      <c r="A44" s="76">
        <f t="shared" si="3"/>
        <v>9</v>
      </c>
      <c r="B44" s="260"/>
      <c r="C44" s="104"/>
      <c r="D44" s="105"/>
      <c r="E44" s="105"/>
      <c r="F44" s="105"/>
      <c r="G44" s="105"/>
      <c r="H44" s="105"/>
      <c r="I44" s="105"/>
      <c r="J44" s="105"/>
      <c r="K44" s="105"/>
      <c r="L44" s="103">
        <f t="shared" si="4"/>
        <v>0</v>
      </c>
      <c r="R44" s="76">
        <f t="shared" si="2"/>
        <v>9</v>
      </c>
      <c r="S44" s="260"/>
      <c r="T44" s="104"/>
      <c r="U44" s="105"/>
      <c r="V44" s="105"/>
      <c r="W44" s="105"/>
      <c r="X44" s="105"/>
      <c r="Y44" s="105"/>
      <c r="Z44" s="105"/>
      <c r="AA44" s="105"/>
      <c r="AB44" s="105"/>
      <c r="AC44" s="103">
        <f t="shared" si="5"/>
        <v>0</v>
      </c>
    </row>
    <row r="45" spans="1:31" s="67" customFormat="1" ht="16" outlineLevel="1" x14ac:dyDescent="0.2">
      <c r="A45" s="76">
        <f t="shared" si="3"/>
        <v>10</v>
      </c>
      <c r="B45" s="260" t="s">
        <v>572</v>
      </c>
      <c r="C45" s="104">
        <v>2750</v>
      </c>
      <c r="D45" s="105"/>
      <c r="E45" s="105"/>
      <c r="F45" s="105">
        <v>2000</v>
      </c>
      <c r="G45" s="105">
        <v>200</v>
      </c>
      <c r="H45" s="105">
        <v>200</v>
      </c>
      <c r="I45" s="105">
        <v>50</v>
      </c>
      <c r="J45" s="105">
        <v>100</v>
      </c>
      <c r="K45" s="105">
        <v>200</v>
      </c>
      <c r="L45" s="106">
        <f t="shared" si="4"/>
        <v>0</v>
      </c>
      <c r="R45" s="76">
        <f t="shared" si="2"/>
        <v>10</v>
      </c>
      <c r="S45" s="260" t="s">
        <v>572</v>
      </c>
      <c r="T45" s="104">
        <v>2750</v>
      </c>
      <c r="U45" s="105"/>
      <c r="V45" s="105"/>
      <c r="W45" s="105">
        <v>2000</v>
      </c>
      <c r="X45" s="105">
        <v>200</v>
      </c>
      <c r="Y45" s="105">
        <v>200</v>
      </c>
      <c r="Z45" s="105">
        <v>50</v>
      </c>
      <c r="AA45" s="105">
        <v>100</v>
      </c>
      <c r="AB45" s="105">
        <v>200</v>
      </c>
      <c r="AC45" s="106">
        <f t="shared" si="5"/>
        <v>0</v>
      </c>
    </row>
    <row r="46" spans="1:31" s="67" customFormat="1" ht="16" outlineLevel="1" thickBot="1" x14ac:dyDescent="0.25">
      <c r="A46" s="76"/>
      <c r="C46" s="107"/>
      <c r="D46" s="102"/>
      <c r="E46" s="102"/>
      <c r="F46" s="108"/>
      <c r="G46" s="102"/>
      <c r="H46" s="102"/>
      <c r="I46" s="102"/>
      <c r="J46" s="102"/>
      <c r="K46" s="102"/>
      <c r="L46" s="109"/>
      <c r="R46" s="76"/>
      <c r="T46" s="107"/>
      <c r="U46" s="102"/>
      <c r="V46" s="102"/>
      <c r="W46" s="108"/>
      <c r="X46" s="102"/>
      <c r="Y46" s="102"/>
      <c r="Z46" s="102"/>
      <c r="AA46" s="102"/>
      <c r="AB46" s="102"/>
      <c r="AC46" s="109"/>
    </row>
    <row r="47" spans="1:31" s="84" customFormat="1" ht="20.25" customHeight="1" thickBot="1" x14ac:dyDescent="0.25">
      <c r="A47" s="82"/>
      <c r="B47" s="83" t="s">
        <v>680</v>
      </c>
      <c r="C47" s="248">
        <f>SUBTOTAL(9,Tabelle41023273160[Teilnahmebeiträge Fachseminare])</f>
        <v>19572.5</v>
      </c>
      <c r="D47" s="333">
        <f>SUBTOTAL(9,Tabelle41023273160[Teilnahmebeiträge Veranstaltungen])</f>
        <v>0</v>
      </c>
      <c r="E47" s="333">
        <f>SUBTOTAL(9,Tabelle41023273160[Sonstige Einnahmen])</f>
        <v>0</v>
      </c>
      <c r="F47" s="334">
        <f>SUBTOTAL(9,Tabelle41023273160[Honorare Dozierende Fachseminare])</f>
        <v>17152.5</v>
      </c>
      <c r="G47" s="334">
        <f>SUBTOTAL(9,Tabelle41023273160[Aufwandsentschädigungen])</f>
        <v>1110</v>
      </c>
      <c r="H47" s="334">
        <f>SUBTOTAL(9,Tabelle41023273160[Externe Reisekosten])</f>
        <v>200</v>
      </c>
      <c r="I47" s="334">
        <f>SUBTOTAL(9,Tabelle41023273160[Repräsentation/Bewirtung extern])</f>
        <v>110</v>
      </c>
      <c r="J47" s="334">
        <f>SUBTOTAL(9,Tabelle41023273160[Raum + Unterkunft extern])</f>
        <v>100</v>
      </c>
      <c r="K47" s="334">
        <f>SUBTOTAL(9,Tabelle41023273160[Verwaltungs- und Druckkosten])</f>
        <v>900</v>
      </c>
      <c r="L47" s="610">
        <f>SUBTOTAL(9,Tabelle41023273160[Gesamt])</f>
        <v>0</v>
      </c>
      <c r="R47" s="82"/>
      <c r="S47" s="83" t="s">
        <v>680</v>
      </c>
      <c r="T47" s="248">
        <f>SUBTOTAL(9,Tabelle410232731[Teilnahmebeiträge Fachseminare])</f>
        <v>19572.5</v>
      </c>
      <c r="U47" s="333">
        <f>SUBTOTAL(9,Tabelle410232731[Teilnahmebeiträge Veranstaltungen])</f>
        <v>0</v>
      </c>
      <c r="V47" s="333">
        <f>SUBTOTAL(9,Tabelle410232731[Sonstige Einnahmen])</f>
        <v>0</v>
      </c>
      <c r="W47" s="334">
        <f>SUBTOTAL(9,Tabelle410232731[Honorare Dozierende Fachseminare])</f>
        <v>17152.5</v>
      </c>
      <c r="X47" s="334">
        <f>SUBTOTAL(9,Tabelle410232731[Aufwandsentschädigungen])</f>
        <v>1110</v>
      </c>
      <c r="Y47" s="334">
        <f>SUBTOTAL(9,Tabelle410232731[Externe Reisekosten])</f>
        <v>200</v>
      </c>
      <c r="Z47" s="334">
        <f>SUBTOTAL(9,Tabelle410232731[Repräsentation/Bewirtung extern])</f>
        <v>110</v>
      </c>
      <c r="AA47" s="334">
        <f>SUBTOTAL(9,Tabelle410232731[Raum + Unterkunft extern])</f>
        <v>100</v>
      </c>
      <c r="AB47" s="334">
        <f>SUBTOTAL(9,Tabelle410232731[Verwaltungs- und Druckkosten])</f>
        <v>900</v>
      </c>
      <c r="AC47" s="610">
        <f>SUBTOTAL(9,Tabelle410232731[Gesamt])</f>
        <v>0</v>
      </c>
    </row>
    <row r="48" spans="1:31" ht="15" customHeight="1" x14ac:dyDescent="0.25">
      <c r="A48" s="11"/>
      <c r="R48" s="11"/>
    </row>
    <row r="49" spans="1:32" s="61" customFormat="1" ht="16" x14ac:dyDescent="0.2">
      <c r="A49" s="7"/>
      <c r="B49" s="7" t="s">
        <v>730</v>
      </c>
      <c r="D49" s="6" t="s">
        <v>723</v>
      </c>
      <c r="R49" s="7"/>
      <c r="S49" s="7" t="s">
        <v>730</v>
      </c>
      <c r="U49" s="6" t="s">
        <v>723</v>
      </c>
    </row>
    <row r="50" spans="1:32" ht="15.75" customHeight="1" thickBot="1" x14ac:dyDescent="0.3">
      <c r="A50" s="11"/>
      <c r="R50" s="11"/>
    </row>
    <row r="51" spans="1:32" ht="16" thickBot="1" x14ac:dyDescent="0.25">
      <c r="A51" s="86"/>
      <c r="B51" s="122" t="s">
        <v>639</v>
      </c>
      <c r="C51" s="77" t="s">
        <v>83</v>
      </c>
      <c r="D51" s="78" t="s">
        <v>90</v>
      </c>
      <c r="E51" s="79" t="s">
        <v>147</v>
      </c>
      <c r="F51" s="79" t="s">
        <v>252</v>
      </c>
      <c r="G51" s="79" t="s">
        <v>280</v>
      </c>
      <c r="H51" s="79" t="s">
        <v>302</v>
      </c>
      <c r="I51" s="79" t="s">
        <v>1191</v>
      </c>
      <c r="J51" s="79" t="s">
        <v>377</v>
      </c>
      <c r="K51" s="79" t="s">
        <v>399</v>
      </c>
      <c r="L51" s="79" t="s">
        <v>411</v>
      </c>
      <c r="M51" s="79" t="s">
        <v>431</v>
      </c>
      <c r="N51" s="601" t="s">
        <v>359</v>
      </c>
      <c r="O51" s="80"/>
      <c r="R51" s="86"/>
      <c r="S51" s="122" t="s">
        <v>639</v>
      </c>
      <c r="T51" s="77" t="s">
        <v>83</v>
      </c>
      <c r="U51" s="78" t="s">
        <v>90</v>
      </c>
      <c r="V51" s="79" t="s">
        <v>147</v>
      </c>
      <c r="W51" s="79" t="s">
        <v>252</v>
      </c>
      <c r="X51" s="79" t="s">
        <v>280</v>
      </c>
      <c r="Y51" s="79" t="s">
        <v>302</v>
      </c>
      <c r="Z51" s="79" t="s">
        <v>1191</v>
      </c>
      <c r="AA51" s="79" t="s">
        <v>377</v>
      </c>
      <c r="AB51" s="79" t="s">
        <v>399</v>
      </c>
      <c r="AC51" s="79" t="s">
        <v>411</v>
      </c>
      <c r="AD51" s="79" t="s">
        <v>431</v>
      </c>
      <c r="AE51" s="601" t="s">
        <v>359</v>
      </c>
      <c r="AF51" s="80"/>
    </row>
    <row r="52" spans="1:32" ht="61" thickBot="1" x14ac:dyDescent="0.25">
      <c r="A52" s="87" t="s">
        <v>724</v>
      </c>
      <c r="B52" s="85" t="s">
        <v>731</v>
      </c>
      <c r="C52" s="88" t="s">
        <v>634</v>
      </c>
      <c r="D52" s="85" t="s">
        <v>727</v>
      </c>
      <c r="E52" s="85" t="s">
        <v>732</v>
      </c>
      <c r="F52" s="85" t="s">
        <v>627</v>
      </c>
      <c r="G52" s="85" t="s">
        <v>733</v>
      </c>
      <c r="H52" s="85" t="s">
        <v>734</v>
      </c>
      <c r="I52" s="85" t="s">
        <v>728</v>
      </c>
      <c r="J52" s="85" t="s">
        <v>729</v>
      </c>
      <c r="K52" s="85" t="s">
        <v>334</v>
      </c>
      <c r="L52" s="85" t="s">
        <v>315</v>
      </c>
      <c r="M52" s="85" t="s">
        <v>658</v>
      </c>
      <c r="N52" s="85" t="s">
        <v>323</v>
      </c>
      <c r="O52" s="89" t="s">
        <v>590</v>
      </c>
      <c r="R52" s="87" t="s">
        <v>724</v>
      </c>
      <c r="S52" s="85" t="s">
        <v>731</v>
      </c>
      <c r="T52" s="88" t="s">
        <v>634</v>
      </c>
      <c r="U52" s="85" t="s">
        <v>727</v>
      </c>
      <c r="V52" s="85" t="s">
        <v>732</v>
      </c>
      <c r="W52" s="85" t="s">
        <v>627</v>
      </c>
      <c r="X52" s="85" t="s">
        <v>733</v>
      </c>
      <c r="Y52" s="85" t="s">
        <v>734</v>
      </c>
      <c r="Z52" s="85" t="s">
        <v>728</v>
      </c>
      <c r="AA52" s="85" t="s">
        <v>729</v>
      </c>
      <c r="AB52" s="85" t="s">
        <v>334</v>
      </c>
      <c r="AC52" s="85" t="s">
        <v>315</v>
      </c>
      <c r="AD52" s="85" t="s">
        <v>658</v>
      </c>
      <c r="AE52" s="85" t="s">
        <v>323</v>
      </c>
      <c r="AF52" s="89" t="s">
        <v>590</v>
      </c>
    </row>
    <row r="53" spans="1:32" s="67" customFormat="1" outlineLevel="1" x14ac:dyDescent="0.2">
      <c r="A53" s="235">
        <f>ROW(A1)</f>
        <v>1</v>
      </c>
      <c r="B53" s="236"/>
      <c r="C53" s="328"/>
      <c r="D53" s="329"/>
      <c r="E53" s="329"/>
      <c r="F53" s="329"/>
      <c r="G53" s="329"/>
      <c r="H53" s="329"/>
      <c r="I53" s="329"/>
      <c r="J53" s="329"/>
      <c r="K53" s="329"/>
      <c r="L53" s="329"/>
      <c r="M53" s="329"/>
      <c r="N53" s="329"/>
      <c r="O53" s="243">
        <f t="shared" ref="O53:O64" si="6">SUM(C53+D53)-SUM(F53:N53)</f>
        <v>0</v>
      </c>
      <c r="R53" s="235">
        <f t="shared" ref="R53:R64" si="7">ROW(A1)</f>
        <v>1</v>
      </c>
      <c r="S53" s="236" t="s">
        <v>765</v>
      </c>
      <c r="T53" s="328"/>
      <c r="U53" s="329"/>
      <c r="V53" s="329"/>
      <c r="W53" s="329"/>
      <c r="X53" s="329"/>
      <c r="Y53" s="329"/>
      <c r="Z53" s="329"/>
      <c r="AA53" s="329"/>
      <c r="AB53" s="329"/>
      <c r="AC53" s="329">
        <v>250</v>
      </c>
      <c r="AD53" s="329"/>
      <c r="AE53" s="329"/>
      <c r="AF53" s="243">
        <f t="shared" ref="AF53:AF64" si="8">SUM(T53+U53)-SUM(W53:AE53)</f>
        <v>-250</v>
      </c>
    </row>
    <row r="54" spans="1:32" s="67" customFormat="1" ht="45" outlineLevel="1" x14ac:dyDescent="0.2">
      <c r="A54" s="235">
        <f t="shared" ref="A54:A64" si="9">ROW(A2)</f>
        <v>2</v>
      </c>
      <c r="B54" s="236"/>
      <c r="C54" s="237"/>
      <c r="D54" s="238"/>
      <c r="E54" s="238"/>
      <c r="F54" s="238"/>
      <c r="G54" s="238"/>
      <c r="H54" s="238"/>
      <c r="I54" s="238"/>
      <c r="J54" s="238"/>
      <c r="K54" s="238"/>
      <c r="L54" s="238"/>
      <c r="M54" s="238"/>
      <c r="N54" s="238"/>
      <c r="O54" s="243">
        <f t="shared" si="6"/>
        <v>0</v>
      </c>
      <c r="R54" s="235">
        <f t="shared" si="7"/>
        <v>2</v>
      </c>
      <c r="S54" s="236" t="s">
        <v>766</v>
      </c>
      <c r="T54" s="237"/>
      <c r="U54" s="238"/>
      <c r="V54" s="238"/>
      <c r="W54" s="238"/>
      <c r="X54" s="238"/>
      <c r="Y54" s="238">
        <v>250</v>
      </c>
      <c r="Z54" s="238">
        <v>0</v>
      </c>
      <c r="AA54" s="238"/>
      <c r="AB54" s="238"/>
      <c r="AC54" s="238">
        <v>0</v>
      </c>
      <c r="AD54" s="238"/>
      <c r="AE54" s="238"/>
      <c r="AF54" s="243">
        <f t="shared" si="8"/>
        <v>-250</v>
      </c>
    </row>
    <row r="55" spans="1:32" s="67" customFormat="1" ht="30" outlineLevel="1" x14ac:dyDescent="0.2">
      <c r="A55" s="235">
        <f t="shared" si="9"/>
        <v>3</v>
      </c>
      <c r="B55" s="236"/>
      <c r="C55" s="237"/>
      <c r="D55" s="238"/>
      <c r="E55" s="238"/>
      <c r="F55" s="238"/>
      <c r="G55" s="238"/>
      <c r="H55" s="238"/>
      <c r="I55" s="238"/>
      <c r="J55" s="238"/>
      <c r="K55" s="238"/>
      <c r="L55" s="238"/>
      <c r="M55" s="238"/>
      <c r="N55" s="238"/>
      <c r="O55" s="243">
        <f t="shared" si="6"/>
        <v>0</v>
      </c>
      <c r="R55" s="235">
        <f t="shared" si="7"/>
        <v>3</v>
      </c>
      <c r="S55" s="236" t="s">
        <v>767</v>
      </c>
      <c r="T55" s="237"/>
      <c r="U55" s="238"/>
      <c r="V55" s="238"/>
      <c r="W55" s="238"/>
      <c r="X55" s="238"/>
      <c r="Y55" s="238"/>
      <c r="Z55" s="238"/>
      <c r="AA55" s="238"/>
      <c r="AB55" s="238"/>
      <c r="AC55" s="238"/>
      <c r="AD55" s="238">
        <v>250</v>
      </c>
      <c r="AE55" s="238"/>
      <c r="AF55" s="243">
        <f t="shared" si="8"/>
        <v>-250</v>
      </c>
    </row>
    <row r="56" spans="1:32" s="67" customFormat="1" outlineLevel="1" x14ac:dyDescent="0.2">
      <c r="A56" s="235">
        <f t="shared" si="9"/>
        <v>4</v>
      </c>
      <c r="B56" s="236"/>
      <c r="C56" s="237"/>
      <c r="D56" s="238"/>
      <c r="E56" s="238"/>
      <c r="F56" s="238"/>
      <c r="G56" s="238"/>
      <c r="H56" s="238"/>
      <c r="I56" s="238"/>
      <c r="J56" s="238"/>
      <c r="K56" s="238"/>
      <c r="L56" s="238"/>
      <c r="M56" s="238"/>
      <c r="N56" s="238"/>
      <c r="O56" s="243">
        <f t="shared" si="6"/>
        <v>0</v>
      </c>
      <c r="R56" s="235">
        <f t="shared" si="7"/>
        <v>4</v>
      </c>
      <c r="S56" s="236"/>
      <c r="T56" s="237"/>
      <c r="U56" s="238"/>
      <c r="V56" s="238"/>
      <c r="W56" s="238"/>
      <c r="X56" s="238"/>
      <c r="Y56" s="238"/>
      <c r="Z56" s="238"/>
      <c r="AA56" s="238"/>
      <c r="AB56" s="238"/>
      <c r="AC56" s="238"/>
      <c r="AD56" s="238"/>
      <c r="AE56" s="238"/>
      <c r="AF56" s="243">
        <f t="shared" si="8"/>
        <v>0</v>
      </c>
    </row>
    <row r="57" spans="1:32" s="67" customFormat="1" outlineLevel="1" x14ac:dyDescent="0.2">
      <c r="A57" s="235">
        <f t="shared" si="9"/>
        <v>5</v>
      </c>
      <c r="B57" s="236"/>
      <c r="C57" s="237"/>
      <c r="D57" s="238"/>
      <c r="E57" s="238"/>
      <c r="F57" s="238"/>
      <c r="G57" s="238"/>
      <c r="H57" s="238"/>
      <c r="I57" s="238"/>
      <c r="J57" s="238"/>
      <c r="K57" s="238"/>
      <c r="L57" s="238"/>
      <c r="M57" s="238"/>
      <c r="N57" s="238"/>
      <c r="O57" s="243">
        <f t="shared" si="6"/>
        <v>0</v>
      </c>
      <c r="R57" s="235">
        <f t="shared" si="7"/>
        <v>5</v>
      </c>
      <c r="S57" s="236"/>
      <c r="T57" s="237"/>
      <c r="U57" s="238"/>
      <c r="V57" s="238"/>
      <c r="W57" s="238"/>
      <c r="X57" s="238"/>
      <c r="Y57" s="238"/>
      <c r="Z57" s="238"/>
      <c r="AA57" s="238"/>
      <c r="AB57" s="238"/>
      <c r="AC57" s="238"/>
      <c r="AD57" s="238"/>
      <c r="AE57" s="238"/>
      <c r="AF57" s="243">
        <f t="shared" si="8"/>
        <v>0</v>
      </c>
    </row>
    <row r="58" spans="1:32" s="67" customFormat="1" outlineLevel="1" x14ac:dyDescent="0.2">
      <c r="A58" s="235">
        <f t="shared" si="9"/>
        <v>6</v>
      </c>
      <c r="B58" s="236"/>
      <c r="C58" s="237"/>
      <c r="D58" s="238"/>
      <c r="E58" s="238"/>
      <c r="F58" s="238"/>
      <c r="G58" s="238"/>
      <c r="H58" s="238"/>
      <c r="I58" s="238"/>
      <c r="J58" s="238"/>
      <c r="K58" s="238"/>
      <c r="L58" s="238"/>
      <c r="M58" s="238"/>
      <c r="N58" s="238"/>
      <c r="O58" s="243">
        <f t="shared" si="6"/>
        <v>0</v>
      </c>
      <c r="R58" s="235">
        <f t="shared" si="7"/>
        <v>6</v>
      </c>
      <c r="S58" s="236"/>
      <c r="T58" s="237"/>
      <c r="U58" s="238"/>
      <c r="V58" s="238"/>
      <c r="W58" s="238"/>
      <c r="X58" s="238"/>
      <c r="Y58" s="238"/>
      <c r="Z58" s="238"/>
      <c r="AA58" s="238"/>
      <c r="AB58" s="238"/>
      <c r="AC58" s="238"/>
      <c r="AD58" s="238"/>
      <c r="AE58" s="238"/>
      <c r="AF58" s="243">
        <f t="shared" si="8"/>
        <v>0</v>
      </c>
    </row>
    <row r="59" spans="1:32" s="67" customFormat="1" outlineLevel="1" x14ac:dyDescent="0.2">
      <c r="A59" s="235">
        <f t="shared" si="9"/>
        <v>7</v>
      </c>
      <c r="B59" s="236"/>
      <c r="C59" s="237"/>
      <c r="D59" s="238"/>
      <c r="E59" s="238"/>
      <c r="F59" s="238"/>
      <c r="G59" s="238"/>
      <c r="H59" s="238"/>
      <c r="I59" s="238"/>
      <c r="J59" s="238"/>
      <c r="K59" s="238"/>
      <c r="L59" s="238"/>
      <c r="M59" s="238"/>
      <c r="N59" s="238"/>
      <c r="O59" s="243">
        <f t="shared" si="6"/>
        <v>0</v>
      </c>
      <c r="R59" s="235">
        <f t="shared" si="7"/>
        <v>7</v>
      </c>
      <c r="S59" s="236"/>
      <c r="T59" s="237"/>
      <c r="U59" s="238"/>
      <c r="V59" s="238"/>
      <c r="W59" s="238"/>
      <c r="X59" s="238"/>
      <c r="Y59" s="238"/>
      <c r="Z59" s="238"/>
      <c r="AA59" s="238"/>
      <c r="AB59" s="238"/>
      <c r="AC59" s="238"/>
      <c r="AD59" s="238"/>
      <c r="AE59" s="238"/>
      <c r="AF59" s="243">
        <f t="shared" si="8"/>
        <v>0</v>
      </c>
    </row>
    <row r="60" spans="1:32" s="67" customFormat="1" outlineLevel="1" x14ac:dyDescent="0.2">
      <c r="A60" s="235">
        <f t="shared" si="9"/>
        <v>8</v>
      </c>
      <c r="B60" s="236"/>
      <c r="C60" s="237"/>
      <c r="D60" s="238"/>
      <c r="E60" s="238"/>
      <c r="F60" s="238"/>
      <c r="G60" s="238"/>
      <c r="H60" s="238"/>
      <c r="I60" s="238"/>
      <c r="J60" s="238"/>
      <c r="K60" s="238"/>
      <c r="L60" s="238"/>
      <c r="M60" s="238"/>
      <c r="N60" s="238"/>
      <c r="O60" s="243">
        <f t="shared" si="6"/>
        <v>0</v>
      </c>
      <c r="R60" s="235">
        <f t="shared" si="7"/>
        <v>8</v>
      </c>
      <c r="S60" s="236"/>
      <c r="T60" s="237"/>
      <c r="U60" s="238"/>
      <c r="V60" s="238"/>
      <c r="W60" s="238"/>
      <c r="X60" s="238"/>
      <c r="Y60" s="238"/>
      <c r="Z60" s="238"/>
      <c r="AA60" s="238"/>
      <c r="AB60" s="238"/>
      <c r="AC60" s="238"/>
      <c r="AD60" s="238"/>
      <c r="AE60" s="238"/>
      <c r="AF60" s="243">
        <f t="shared" si="8"/>
        <v>0</v>
      </c>
    </row>
    <row r="61" spans="1:32" s="67" customFormat="1" outlineLevel="1" x14ac:dyDescent="0.2">
      <c r="A61" s="235">
        <f t="shared" si="9"/>
        <v>9</v>
      </c>
      <c r="B61" s="236"/>
      <c r="C61" s="237"/>
      <c r="D61" s="238"/>
      <c r="E61" s="238"/>
      <c r="F61" s="238"/>
      <c r="G61" s="238"/>
      <c r="H61" s="238"/>
      <c r="I61" s="238"/>
      <c r="J61" s="238"/>
      <c r="K61" s="238"/>
      <c r="L61" s="238"/>
      <c r="M61" s="238"/>
      <c r="N61" s="238"/>
      <c r="O61" s="243">
        <f t="shared" si="6"/>
        <v>0</v>
      </c>
      <c r="R61" s="235">
        <f t="shared" si="7"/>
        <v>9</v>
      </c>
      <c r="S61" s="236"/>
      <c r="T61" s="237"/>
      <c r="U61" s="238"/>
      <c r="V61" s="238"/>
      <c r="W61" s="238"/>
      <c r="X61" s="238"/>
      <c r="Y61" s="238"/>
      <c r="Z61" s="238"/>
      <c r="AA61" s="238"/>
      <c r="AB61" s="238"/>
      <c r="AC61" s="238"/>
      <c r="AD61" s="238"/>
      <c r="AE61" s="238"/>
      <c r="AF61" s="243">
        <f t="shared" si="8"/>
        <v>0</v>
      </c>
    </row>
    <row r="62" spans="1:32" s="67" customFormat="1" outlineLevel="1" x14ac:dyDescent="0.2">
      <c r="A62" s="235">
        <f t="shared" si="9"/>
        <v>10</v>
      </c>
      <c r="B62" s="236"/>
      <c r="C62" s="237"/>
      <c r="D62" s="238"/>
      <c r="E62" s="238"/>
      <c r="F62" s="238"/>
      <c r="G62" s="238"/>
      <c r="H62" s="238"/>
      <c r="I62" s="238"/>
      <c r="J62" s="238"/>
      <c r="K62" s="238"/>
      <c r="L62" s="238"/>
      <c r="M62" s="238"/>
      <c r="N62" s="238"/>
      <c r="O62" s="243">
        <f t="shared" si="6"/>
        <v>0</v>
      </c>
      <c r="R62" s="235">
        <f t="shared" si="7"/>
        <v>10</v>
      </c>
      <c r="S62" s="236"/>
      <c r="T62" s="237"/>
      <c r="U62" s="238"/>
      <c r="V62" s="238"/>
      <c r="W62" s="238"/>
      <c r="X62" s="238"/>
      <c r="Y62" s="238"/>
      <c r="Z62" s="238"/>
      <c r="AA62" s="238"/>
      <c r="AB62" s="238"/>
      <c r="AC62" s="238"/>
      <c r="AD62" s="238"/>
      <c r="AE62" s="238"/>
      <c r="AF62" s="243">
        <f t="shared" si="8"/>
        <v>0</v>
      </c>
    </row>
    <row r="63" spans="1:32" s="67" customFormat="1" outlineLevel="1" x14ac:dyDescent="0.2">
      <c r="A63" s="235">
        <f t="shared" si="9"/>
        <v>11</v>
      </c>
      <c r="B63" s="236"/>
      <c r="C63" s="237"/>
      <c r="D63" s="238"/>
      <c r="E63" s="238"/>
      <c r="F63" s="238"/>
      <c r="G63" s="238"/>
      <c r="H63" s="238"/>
      <c r="I63" s="238"/>
      <c r="J63" s="238"/>
      <c r="K63" s="238"/>
      <c r="L63" s="238"/>
      <c r="M63" s="238"/>
      <c r="N63" s="238"/>
      <c r="O63" s="243">
        <f t="shared" si="6"/>
        <v>0</v>
      </c>
      <c r="R63" s="235">
        <f t="shared" si="7"/>
        <v>11</v>
      </c>
      <c r="S63" s="236"/>
      <c r="T63" s="237"/>
      <c r="U63" s="238"/>
      <c r="V63" s="238"/>
      <c r="W63" s="238"/>
      <c r="X63" s="238"/>
      <c r="Y63" s="238"/>
      <c r="Z63" s="238"/>
      <c r="AA63" s="238"/>
      <c r="AB63" s="238"/>
      <c r="AC63" s="238"/>
      <c r="AD63" s="238"/>
      <c r="AE63" s="238"/>
      <c r="AF63" s="243">
        <f t="shared" si="8"/>
        <v>0</v>
      </c>
    </row>
    <row r="64" spans="1:32" s="67" customFormat="1" ht="16" outlineLevel="1" thickBot="1" x14ac:dyDescent="0.25">
      <c r="A64" s="235">
        <f t="shared" si="9"/>
        <v>12</v>
      </c>
      <c r="B64" s="240" t="s">
        <v>589</v>
      </c>
      <c r="C64" s="246">
        <v>0</v>
      </c>
      <c r="D64" s="247">
        <v>0</v>
      </c>
      <c r="E64" s="247"/>
      <c r="F64" s="247"/>
      <c r="G64" s="247"/>
      <c r="H64" s="247"/>
      <c r="I64" s="247"/>
      <c r="J64" s="247"/>
      <c r="K64" s="247"/>
      <c r="L64" s="247"/>
      <c r="M64" s="247"/>
      <c r="N64" s="242"/>
      <c r="O64" s="243">
        <f t="shared" si="6"/>
        <v>0</v>
      </c>
      <c r="R64" s="235">
        <f t="shared" si="7"/>
        <v>12</v>
      </c>
      <c r="S64" s="240" t="s">
        <v>589</v>
      </c>
      <c r="T64" s="246">
        <v>0</v>
      </c>
      <c r="U64" s="247">
        <v>0</v>
      </c>
      <c r="V64" s="247">
        <v>200</v>
      </c>
      <c r="W64" s="247">
        <v>300</v>
      </c>
      <c r="X64" s="247">
        <v>100</v>
      </c>
      <c r="Y64" s="247">
        <v>250</v>
      </c>
      <c r="Z64" s="247">
        <v>200</v>
      </c>
      <c r="AA64" s="247">
        <v>0</v>
      </c>
      <c r="AB64" s="247">
        <v>0</v>
      </c>
      <c r="AC64" s="247">
        <v>1000</v>
      </c>
      <c r="AD64" s="247">
        <v>500</v>
      </c>
      <c r="AE64" s="242">
        <v>1000</v>
      </c>
      <c r="AF64" s="243">
        <f t="shared" si="8"/>
        <v>-3350</v>
      </c>
    </row>
    <row r="65" spans="1:32" ht="23.25" customHeight="1" thickBot="1" x14ac:dyDescent="0.25">
      <c r="A65" s="92"/>
      <c r="B65" s="93" t="s">
        <v>680</v>
      </c>
      <c r="C65" s="248">
        <f>SUBTOTAL(9,Tabelle51324283261[Teilnahmebeiträge Veranstaltungen])</f>
        <v>0</v>
      </c>
      <c r="D65" s="333">
        <f>SUBTOTAL(9,Tabelle51324283261[Sonstige Einnahmen])</f>
        <v>0</v>
      </c>
      <c r="E65" s="334">
        <f>SUBTOTAL(9,Tabelle51324283261[Aufwandsentschädigungen])</f>
        <v>0</v>
      </c>
      <c r="F65" s="334">
        <f>SUBTOTAL(9,Tabelle51324283261[Interne Reisekosten])</f>
        <v>0</v>
      </c>
      <c r="G65" s="334">
        <f>SUBTOTAL(9,Tabelle51324283261[Raum + Unterkunft intern])</f>
        <v>0</v>
      </c>
      <c r="H65" s="334">
        <f>SUBTOTAL(9,Tabelle51324283261[Repräsentation/Bewirtung intern])</f>
        <v>0</v>
      </c>
      <c r="I65" s="334">
        <f>SUBTOTAL(9,Tabelle51324283261[Repräsentation/Bewirtung extern])</f>
        <v>0</v>
      </c>
      <c r="J65" s="334">
        <f>SUBTOTAL(9,Tabelle51324283261[Raum + Unterkunft extern])</f>
        <v>0</v>
      </c>
      <c r="K65" s="334">
        <f>SUBTOTAL(9,Tabelle51324283261[Druckkosten])</f>
        <v>0</v>
      </c>
      <c r="L65" s="334">
        <f>SUBTOTAL(9,Tabelle51324283261[Sonstige Kosten])</f>
        <v>0</v>
      </c>
      <c r="M65" s="334">
        <f>SUBTOTAL(9,Tabelle51324283261[Rechtsangelegenheiten])</f>
        <v>0</v>
      </c>
      <c r="N65" s="334">
        <f>SUBTOTAL(109,Tabelle51324283261[Andere Honorare])</f>
        <v>0</v>
      </c>
      <c r="O65" s="617">
        <f>SUBTOTAL(9,Tabelle51324283261[Gesamt])</f>
        <v>0</v>
      </c>
      <c r="R65" s="92"/>
      <c r="S65" s="93" t="s">
        <v>680</v>
      </c>
      <c r="T65" s="248">
        <f>SUBTOTAL(9,Tabelle513242832[Teilnahmebeiträge Veranstaltungen])</f>
        <v>0</v>
      </c>
      <c r="U65" s="333">
        <f>SUBTOTAL(9,Tabelle513242832[Sonstige Einnahmen])</f>
        <v>0</v>
      </c>
      <c r="V65" s="334">
        <f>SUBTOTAL(9,Tabelle513242832[Aufwandsentschädigungen])</f>
        <v>200</v>
      </c>
      <c r="W65" s="334">
        <f>SUBTOTAL(9,Tabelle513242832[Interne Reisekosten])</f>
        <v>300</v>
      </c>
      <c r="X65" s="334">
        <f>SUBTOTAL(9,Tabelle513242832[Raum + Unterkunft intern])</f>
        <v>100</v>
      </c>
      <c r="Y65" s="334">
        <f>SUBTOTAL(9,Tabelle513242832[Repräsentation/Bewirtung intern])</f>
        <v>500</v>
      </c>
      <c r="Z65" s="334">
        <f>SUBTOTAL(9,Tabelle513242832[Repräsentation/Bewirtung extern])</f>
        <v>200</v>
      </c>
      <c r="AA65" s="334">
        <f>SUBTOTAL(9,Tabelle513242832[Raum + Unterkunft extern])</f>
        <v>0</v>
      </c>
      <c r="AB65" s="334">
        <f>SUBTOTAL(9,Tabelle513242832[Druckkosten])</f>
        <v>0</v>
      </c>
      <c r="AC65" s="334">
        <f>SUBTOTAL(9,Tabelle513242832[Sonstige Kosten])</f>
        <v>1250</v>
      </c>
      <c r="AD65" s="334">
        <f>SUBTOTAL(9,Tabelle513242832[Rechtsangelegenheiten])</f>
        <v>750</v>
      </c>
      <c r="AE65" s="334">
        <f>SUBTOTAL(109,Tabelle513242832[Andere Honorare])</f>
        <v>1000</v>
      </c>
      <c r="AF65" s="617">
        <f>SUBTOTAL(9,Tabelle513242832[Gesamt])</f>
        <v>-4100</v>
      </c>
    </row>
    <row r="66" spans="1:32" ht="19" x14ac:dyDescent="0.25">
      <c r="A66" s="11"/>
      <c r="R66" s="11"/>
    </row>
    <row r="67" spans="1:32" ht="16" x14ac:dyDescent="0.2">
      <c r="A67" s="7"/>
      <c r="B67" s="7" t="s">
        <v>739</v>
      </c>
      <c r="D67" s="6" t="s">
        <v>723</v>
      </c>
      <c r="R67" s="7"/>
      <c r="S67" s="7" t="s">
        <v>739</v>
      </c>
      <c r="U67" s="6" t="s">
        <v>723</v>
      </c>
    </row>
    <row r="68" spans="1:32" ht="20" thickBot="1" x14ac:dyDescent="0.3">
      <c r="A68" s="11"/>
      <c r="R68" s="11"/>
    </row>
    <row r="69" spans="1:32" ht="17" thickTop="1" thickBot="1" x14ac:dyDescent="0.25">
      <c r="A69" s="94"/>
      <c r="B69" s="120"/>
      <c r="C69" s="121"/>
      <c r="D69" s="124" t="s">
        <v>639</v>
      </c>
      <c r="E69" s="95" t="s">
        <v>136</v>
      </c>
      <c r="F69" s="96" t="s">
        <v>244</v>
      </c>
      <c r="G69" s="96" t="s">
        <v>268</v>
      </c>
      <c r="H69" s="96" t="s">
        <v>294</v>
      </c>
      <c r="I69" s="97"/>
      <c r="R69" s="94"/>
      <c r="S69" s="120"/>
      <c r="T69" s="121"/>
      <c r="U69" s="124" t="s">
        <v>639</v>
      </c>
      <c r="V69" s="95" t="s">
        <v>136</v>
      </c>
      <c r="W69" s="96" t="s">
        <v>244</v>
      </c>
      <c r="X69" s="96" t="s">
        <v>268</v>
      </c>
      <c r="Y69" s="96" t="s">
        <v>294</v>
      </c>
      <c r="Z69" s="97"/>
    </row>
    <row r="70" spans="1:32" ht="46" thickBot="1" x14ac:dyDescent="0.25">
      <c r="A70" s="98" t="s">
        <v>740</v>
      </c>
      <c r="B70" s="98" t="s">
        <v>741</v>
      </c>
      <c r="C70" s="123" t="s">
        <v>742</v>
      </c>
      <c r="D70" s="98" t="s">
        <v>543</v>
      </c>
      <c r="E70" s="322" t="s">
        <v>732</v>
      </c>
      <c r="F70" s="323" t="s">
        <v>627</v>
      </c>
      <c r="G70" s="323" t="s">
        <v>733</v>
      </c>
      <c r="H70" s="323" t="s">
        <v>734</v>
      </c>
      <c r="I70" s="324" t="s">
        <v>590</v>
      </c>
      <c r="R70" s="98" t="s">
        <v>740</v>
      </c>
      <c r="S70" s="98" t="s">
        <v>741</v>
      </c>
      <c r="T70" s="123" t="s">
        <v>742</v>
      </c>
      <c r="U70" s="98" t="s">
        <v>543</v>
      </c>
      <c r="V70" s="322" t="s">
        <v>732</v>
      </c>
      <c r="W70" s="323" t="s">
        <v>627</v>
      </c>
      <c r="X70" s="323" t="s">
        <v>733</v>
      </c>
      <c r="Y70" s="323" t="s">
        <v>734</v>
      </c>
      <c r="Z70" s="324" t="s">
        <v>590</v>
      </c>
    </row>
    <row r="71" spans="1:32" s="67" customFormat="1" ht="328" outlineLevel="1" x14ac:dyDescent="0.2">
      <c r="A71" s="239">
        <f>ROW(A1)</f>
        <v>1</v>
      </c>
      <c r="B71" s="272" t="s">
        <v>1256</v>
      </c>
      <c r="C71" s="239"/>
      <c r="D71" s="239"/>
      <c r="E71" s="328"/>
      <c r="F71" s="329"/>
      <c r="G71" s="329"/>
      <c r="H71" s="329"/>
      <c r="I71" s="259">
        <f>SUM(E71:H71)</f>
        <v>0</v>
      </c>
      <c r="R71" s="239">
        <f t="shared" ref="R71:R79" si="10">ROW(A1)</f>
        <v>1</v>
      </c>
      <c r="S71" s="272" t="s">
        <v>1256</v>
      </c>
      <c r="T71" s="239"/>
      <c r="U71" s="239"/>
      <c r="V71" s="328"/>
      <c r="W71" s="329"/>
      <c r="X71" s="329"/>
      <c r="Y71" s="329"/>
      <c r="Z71" s="259">
        <f>SUM(V71:Y71)</f>
        <v>0</v>
      </c>
    </row>
    <row r="72" spans="1:32" s="67" customFormat="1" outlineLevel="1" x14ac:dyDescent="0.2">
      <c r="A72" s="239">
        <f t="shared" ref="A72:A79" si="11">ROW(A2)</f>
        <v>2</v>
      </c>
      <c r="B72" s="239" t="s">
        <v>1257</v>
      </c>
      <c r="C72" s="239"/>
      <c r="D72" s="239" t="s">
        <v>754</v>
      </c>
      <c r="E72" s="237">
        <v>800</v>
      </c>
      <c r="F72" s="238">
        <v>0</v>
      </c>
      <c r="G72" s="238">
        <v>0</v>
      </c>
      <c r="H72" s="238">
        <v>0</v>
      </c>
      <c r="I72" s="243">
        <f>SUM(E72:H72)</f>
        <v>800</v>
      </c>
      <c r="R72" s="239">
        <f t="shared" si="10"/>
        <v>2</v>
      </c>
      <c r="S72" s="239" t="s">
        <v>1257</v>
      </c>
      <c r="T72" s="239"/>
      <c r="U72" s="239" t="s">
        <v>754</v>
      </c>
      <c r="V72" s="237">
        <v>800</v>
      </c>
      <c r="W72" s="238">
        <v>0</v>
      </c>
      <c r="X72" s="238">
        <v>0</v>
      </c>
      <c r="Y72" s="238">
        <v>0</v>
      </c>
      <c r="Z72" s="243">
        <f>SUM(V72:Y72)</f>
        <v>800</v>
      </c>
    </row>
    <row r="73" spans="1:32" s="67" customFormat="1" outlineLevel="1" x14ac:dyDescent="0.2">
      <c r="A73" s="239">
        <f t="shared" si="11"/>
        <v>3</v>
      </c>
      <c r="B73" s="239" t="s">
        <v>1258</v>
      </c>
      <c r="C73" s="239"/>
      <c r="D73" s="239" t="s">
        <v>748</v>
      </c>
      <c r="E73" s="237">
        <v>720</v>
      </c>
      <c r="F73" s="238">
        <v>600</v>
      </c>
      <c r="G73" s="238">
        <v>350</v>
      </c>
      <c r="H73" s="238">
        <v>50</v>
      </c>
      <c r="I73" s="243">
        <f>SUM(E73:H73)</f>
        <v>1720</v>
      </c>
      <c r="R73" s="239">
        <f t="shared" si="10"/>
        <v>3</v>
      </c>
      <c r="S73" s="239" t="s">
        <v>1258</v>
      </c>
      <c r="T73" s="239"/>
      <c r="U73" s="239" t="s">
        <v>748</v>
      </c>
      <c r="V73" s="237">
        <v>720</v>
      </c>
      <c r="W73" s="238">
        <v>600</v>
      </c>
      <c r="X73" s="238">
        <v>350</v>
      </c>
      <c r="Y73" s="238">
        <v>50</v>
      </c>
      <c r="Z73" s="243">
        <f>SUM(V73:Y73)</f>
        <v>1720</v>
      </c>
    </row>
    <row r="74" spans="1:32" s="67" customFormat="1" outlineLevel="1" x14ac:dyDescent="0.2">
      <c r="A74" s="239">
        <f t="shared" si="11"/>
        <v>4</v>
      </c>
      <c r="B74" s="239"/>
      <c r="C74" s="239"/>
      <c r="D74" s="239"/>
      <c r="E74" s="237"/>
      <c r="F74" s="238"/>
      <c r="G74" s="238"/>
      <c r="H74" s="238"/>
      <c r="I74" s="243"/>
      <c r="R74" s="239">
        <f t="shared" si="10"/>
        <v>4</v>
      </c>
      <c r="S74" s="239"/>
      <c r="T74" s="239"/>
      <c r="U74" s="239"/>
      <c r="V74" s="237"/>
      <c r="W74" s="238"/>
      <c r="X74" s="238"/>
      <c r="Y74" s="238"/>
      <c r="Z74" s="243"/>
    </row>
    <row r="75" spans="1:32" s="67" customFormat="1" outlineLevel="1" x14ac:dyDescent="0.2">
      <c r="A75" s="239">
        <f t="shared" si="11"/>
        <v>5</v>
      </c>
      <c r="B75" s="239"/>
      <c r="C75" s="239"/>
      <c r="D75" s="239"/>
      <c r="E75" s="237"/>
      <c r="F75" s="238"/>
      <c r="G75" s="238"/>
      <c r="H75" s="238"/>
      <c r="I75" s="243"/>
      <c r="R75" s="239">
        <f t="shared" si="10"/>
        <v>5</v>
      </c>
      <c r="S75" s="239"/>
      <c r="T75" s="239"/>
      <c r="U75" s="239"/>
      <c r="V75" s="237"/>
      <c r="W75" s="238"/>
      <c r="X75" s="238"/>
      <c r="Y75" s="238"/>
      <c r="Z75" s="243"/>
    </row>
    <row r="76" spans="1:32" s="67" customFormat="1" outlineLevel="1" x14ac:dyDescent="0.2">
      <c r="A76" s="239">
        <f t="shared" si="11"/>
        <v>6</v>
      </c>
      <c r="B76" s="239" t="s">
        <v>768</v>
      </c>
      <c r="C76" s="239"/>
      <c r="D76" s="239" t="s">
        <v>748</v>
      </c>
      <c r="E76" s="237">
        <v>300</v>
      </c>
      <c r="F76" s="238">
        <v>500</v>
      </c>
      <c r="G76" s="238">
        <v>200</v>
      </c>
      <c r="H76" s="238">
        <v>50</v>
      </c>
      <c r="I76" s="243">
        <f>SUM(E76:H76)</f>
        <v>1050</v>
      </c>
      <c r="R76" s="239">
        <f t="shared" si="10"/>
        <v>6</v>
      </c>
      <c r="S76" s="239" t="s">
        <v>768</v>
      </c>
      <c r="T76" s="239"/>
      <c r="U76" s="239" t="s">
        <v>748</v>
      </c>
      <c r="V76" s="237">
        <v>300</v>
      </c>
      <c r="W76" s="238">
        <v>500</v>
      </c>
      <c r="X76" s="238">
        <v>200</v>
      </c>
      <c r="Y76" s="238">
        <v>50</v>
      </c>
      <c r="Z76" s="243">
        <f>SUM(V76:Y76)</f>
        <v>1050</v>
      </c>
    </row>
    <row r="77" spans="1:32" s="67" customFormat="1" outlineLevel="1" x14ac:dyDescent="0.2">
      <c r="A77" s="239">
        <f t="shared" si="11"/>
        <v>7</v>
      </c>
      <c r="B77" s="239"/>
      <c r="C77" s="239"/>
      <c r="D77" s="239"/>
      <c r="E77" s="237"/>
      <c r="F77" s="238"/>
      <c r="G77" s="238"/>
      <c r="H77" s="238"/>
      <c r="I77" s="243">
        <f t="shared" ref="I77:I78" si="12">SUM(E77:H77)</f>
        <v>0</v>
      </c>
      <c r="R77" s="239">
        <f t="shared" si="10"/>
        <v>7</v>
      </c>
      <c r="S77" s="239"/>
      <c r="T77" s="239"/>
      <c r="U77" s="239"/>
      <c r="V77" s="237"/>
      <c r="W77" s="238"/>
      <c r="X77" s="238"/>
      <c r="Y77" s="238"/>
      <c r="Z77" s="243">
        <f t="shared" ref="Z77:Z78" si="13">SUM(V77:Y77)</f>
        <v>0</v>
      </c>
    </row>
    <row r="78" spans="1:32" outlineLevel="1" x14ac:dyDescent="0.2">
      <c r="A78" s="239">
        <f t="shared" si="11"/>
        <v>8</v>
      </c>
      <c r="B78" s="99" t="s">
        <v>749</v>
      </c>
      <c r="C78" s="99"/>
      <c r="D78" s="99"/>
      <c r="E78" s="114">
        <f>Tabelle51324283261[[#Totals],[Aufwandsentschädigungen]]</f>
        <v>0</v>
      </c>
      <c r="F78" s="115">
        <f>Tabelle51324283261[[#Totals],[Interne Reisekosten]]</f>
        <v>0</v>
      </c>
      <c r="G78" s="115">
        <f>Tabelle51324283261[[#Totals],[Raum + Unterkunft intern]]</f>
        <v>0</v>
      </c>
      <c r="H78" s="115">
        <f>Tabelle51324283261[[#Totals],[Repräsentation/Bewirtung intern]]</f>
        <v>0</v>
      </c>
      <c r="I78" s="244">
        <f t="shared" si="12"/>
        <v>0</v>
      </c>
      <c r="R78" s="84">
        <f t="shared" si="10"/>
        <v>8</v>
      </c>
      <c r="S78" s="99" t="s">
        <v>749</v>
      </c>
      <c r="T78" s="99"/>
      <c r="U78" s="99"/>
      <c r="V78" s="114">
        <f>Tabelle513242832[[#Totals],[Aufwandsentschädigungen]]</f>
        <v>200</v>
      </c>
      <c r="W78" s="115">
        <f>Tabelle513242832[[#Totals],[Interne Reisekosten]]</f>
        <v>300</v>
      </c>
      <c r="X78" s="115">
        <f>Tabelle513242832[[#Totals],[Raum + Unterkunft intern]]</f>
        <v>100</v>
      </c>
      <c r="Y78" s="115">
        <f>Tabelle513242832[[#Totals],[Repräsentation/Bewirtung intern]]</f>
        <v>500</v>
      </c>
      <c r="Z78" s="244">
        <f t="shared" si="13"/>
        <v>1100</v>
      </c>
    </row>
    <row r="79" spans="1:32" s="67" customFormat="1" ht="15.75" customHeight="1" outlineLevel="1" thickBot="1" x14ac:dyDescent="0.25">
      <c r="A79" s="239">
        <f t="shared" si="11"/>
        <v>9</v>
      </c>
      <c r="B79" s="240" t="s">
        <v>589</v>
      </c>
      <c r="C79" s="240"/>
      <c r="D79" s="240" t="s">
        <v>750</v>
      </c>
      <c r="E79" s="241">
        <v>200</v>
      </c>
      <c r="F79" s="242">
        <v>500</v>
      </c>
      <c r="G79" s="242">
        <v>500</v>
      </c>
      <c r="H79" s="242">
        <v>50</v>
      </c>
      <c r="I79" s="245">
        <f>SUM(E79:H79)</f>
        <v>1250</v>
      </c>
      <c r="R79" s="239">
        <f t="shared" si="10"/>
        <v>9</v>
      </c>
      <c r="S79" s="240" t="s">
        <v>589</v>
      </c>
      <c r="T79" s="240"/>
      <c r="U79" s="240" t="s">
        <v>750</v>
      </c>
      <c r="V79" s="241">
        <v>200</v>
      </c>
      <c r="W79" s="242">
        <v>500</v>
      </c>
      <c r="X79" s="242">
        <v>500</v>
      </c>
      <c r="Y79" s="242">
        <v>50</v>
      </c>
      <c r="Z79" s="245">
        <f>SUM(V79:Y79)</f>
        <v>1250</v>
      </c>
    </row>
    <row r="80" spans="1:32" ht="23.25" customHeight="1" thickBot="1" x14ac:dyDescent="0.25">
      <c r="A80" s="84"/>
      <c r="B80" s="84"/>
      <c r="C80" s="84"/>
      <c r="D80" s="93" t="s">
        <v>680</v>
      </c>
      <c r="E80" s="250">
        <f>SUBTOTAL(9,Tabelle61525293362[Aufwandsentschädigungen])</f>
        <v>2020</v>
      </c>
      <c r="F80" s="334">
        <f>SUBTOTAL(9,Tabelle61525293362[Interne Reisekosten])</f>
        <v>1600</v>
      </c>
      <c r="G80" s="334">
        <f>SUBTOTAL(9,Tabelle61525293362[Raum + Unterkunft intern])</f>
        <v>1050</v>
      </c>
      <c r="H80" s="334">
        <f>SUBTOTAL(9,Tabelle61525293362[Repräsentation/Bewirtung intern])</f>
        <v>150</v>
      </c>
      <c r="I80" s="618">
        <f>SUBTOTAL(9,Tabelle61525293362[Gesamt])</f>
        <v>4820</v>
      </c>
      <c r="R80" s="84"/>
      <c r="S80" s="84"/>
      <c r="T80" s="84"/>
      <c r="U80" s="93" t="s">
        <v>680</v>
      </c>
      <c r="V80" s="250">
        <f>SUBTOTAL(9,Tabelle615252933[Aufwandsentschädigungen])</f>
        <v>2220</v>
      </c>
      <c r="W80" s="334">
        <f>SUBTOTAL(9,Tabelle615252933[Interne Reisekosten])</f>
        <v>1900</v>
      </c>
      <c r="X80" s="334">
        <f>SUBTOTAL(9,Tabelle615252933[Raum + Unterkunft intern])</f>
        <v>1150</v>
      </c>
      <c r="Y80" s="334">
        <f>SUBTOTAL(9,Tabelle615252933[Repräsentation/Bewirtung intern])</f>
        <v>650</v>
      </c>
      <c r="Z80" s="618">
        <f>SUBTOTAL(9,Tabelle615252933[Gesamt])</f>
        <v>5920</v>
      </c>
    </row>
  </sheetData>
  <sheetProtection insertRows="0" insertHyperlinks="0" selectLockedCells="1" sort="0" autoFilter="0" pivotTables="0"/>
  <hyperlinks>
    <hyperlink ref="T47" location="M_I!F5" display="M_I!F5" xr:uid="{F4D37FA1-4A48-4861-B263-0920EDAE0A78}"/>
    <hyperlink ref="U47" location="M_I!F6" display="M_I!F6" xr:uid="{C317A88F-B5D1-4091-A029-BEDD35CF24EF}"/>
    <hyperlink ref="V47" location="M_I!F7" display="M_I!F7" xr:uid="{97A4A185-22DF-4F29-A576-1A5E53B0F737}"/>
    <hyperlink ref="T65" location="M_I!F6" display="M_I!F6" xr:uid="{1B820A71-982B-4C8B-AEE8-D02DB98DA1A8}"/>
    <hyperlink ref="U65" location="M_I!F7" display="M_I!F7" xr:uid="{C384D5FC-7E37-43B9-8989-1B77A4DA3F6D}"/>
    <hyperlink ref="V65" location="M_I!F11" display="M_I!F11" xr:uid="{C35E36D1-1FA7-4784-9AEB-C32B2696C353}"/>
    <hyperlink ref="V80" location="M_I!F11" display="M_I!F11" xr:uid="{1420E7A9-6C60-403A-82A8-75D4F36E6390}"/>
    <hyperlink ref="W65" location="M_I!F12" display="M_I!F12" xr:uid="{1FFE5206-6CC3-4C0D-8B1B-3CA97CEF81E0}"/>
    <hyperlink ref="W80" location="M_I!F12" display="M_I!F12" xr:uid="{6A1FC625-4B96-4C49-8352-E48B1E1785F7}"/>
    <hyperlink ref="X65" location="M_I!F13" display="M_I!F13" xr:uid="{30661BF3-5DEE-474C-A099-EAD56C77D307}"/>
    <hyperlink ref="X80" location="M_I!F13" display="M_I!F13" xr:uid="{BD8DD436-9C5A-4E53-8856-BE7507E123E5}"/>
    <hyperlink ref="Y65" location="M_I!F14" display="M_I!F14" xr:uid="{8CF4D613-FF91-4100-B64D-9FF1C94CCD69}"/>
    <hyperlink ref="Y80" location="M_I!F14" display="M_I!F14" xr:uid="{6C944FC5-7D95-4BC8-BEAA-2E916B68648D}"/>
    <hyperlink ref="W47" location="M_I!F15" display="M_I!F15" xr:uid="{42386A1B-B65C-4BCF-85D2-5775EA326FAA}"/>
    <hyperlink ref="X47" location="M_I!F16" display="M_I!F16" xr:uid="{060BBD50-3146-44B7-B82D-6C556F05A965}"/>
    <hyperlink ref="Z65" location="M_I!F18" display="M_I!F18" xr:uid="{79535A70-B71C-4DCC-9C2F-44CCA5D9BF7E}"/>
    <hyperlink ref="AA65" location="M_I!F19" display="M_I!F19" xr:uid="{5E0A34AD-E75C-4AB9-82C2-41CC5D3D45E5}"/>
    <hyperlink ref="AB65" location="M_I!F20" display="M_I!F20" xr:uid="{638A4D29-08FE-4052-8973-3A99551C5278}"/>
    <hyperlink ref="Y47" location="M_I!F17" display="M_I!F17" xr:uid="{993F0111-E5B0-4513-A686-1C1FAF355342}"/>
    <hyperlink ref="Z47" location="M_I!F18" display="M_I!F18" xr:uid="{8332365D-0EB0-46BF-826E-386689989C74}"/>
    <hyperlink ref="AA47" location="M_I!F19" display="M_I!F19" xr:uid="{E8357749-3CBA-43C6-8621-CCEEC674C664}"/>
    <hyperlink ref="AB47" location="M_I!F20" display="M_I!F20" xr:uid="{3983B5D0-88BD-47F1-BE3F-01B0455CAC38}"/>
    <hyperlink ref="AC65" location="M_I!F21" display="M_I!F21" xr:uid="{6AD54AE2-403C-415A-9400-5E709C30FDF0}"/>
    <hyperlink ref="AD65" location="M_I!F22" display="M_I!F22" xr:uid="{B2E95091-B657-439B-A928-492EFB888712}"/>
    <hyperlink ref="B11" location="M_I_AE_var" display="AE variabel" xr:uid="{892D5FB8-3053-4280-9BC2-16B6EF3E546A}"/>
    <hyperlink ref="B12" location="M_I_RK_Int." display="Fahrtkosten und Verpflegungspauschalen" xr:uid="{27AF651B-4476-4F2F-8E53-7BFCFDA17C69}"/>
    <hyperlink ref="B13" location="M_I_R_U_Int." display="Raum- und Unterkunftskosten" xr:uid="{C2BB4B6D-FD0E-4E6C-89BF-90967987FEFE}"/>
    <hyperlink ref="B14" location="M_I_Bew.Int." display="Bewirtung und Repräsentation intern" xr:uid="{06E7089A-4302-4524-8C5E-44062F2C5B40}"/>
    <hyperlink ref="B15" location="M_I_Hon_I" display="Honorare Fachseminare" xr:uid="{CD267BCE-039B-49D1-A259-7D1FDB18322D}"/>
    <hyperlink ref="B16" location="M_I_Hon_II" display="Andere Honorare" xr:uid="{F7B865E4-4808-44E2-B3EC-7BC904B52C5C}"/>
    <hyperlink ref="B17" location="M_I_Ext.RK" display="Ext. Reisekosten" xr:uid="{4663A64B-B35C-4614-9429-CD9337AB7295}"/>
    <hyperlink ref="B18" location="M_I_Bew.Ext." display="Bewirtung und Repräsentation extern" xr:uid="{07BF2B2C-1204-492D-9662-33CBF8D4D30C}"/>
    <hyperlink ref="B19" location="M_I_R_U_Ext." display="Raum- und Unterkunftskosten Seminare und Veranst." xr:uid="{056BE7B5-2E72-4AF7-81F4-7031195520ED}"/>
    <hyperlink ref="B20" location="M_I_Druck" display="Druckkosten" xr:uid="{E27ABE20-5A9A-4528-8178-A2E8E20F7E9B}"/>
    <hyperlink ref="B21" location="M_I_Sonst." display="Sonstige Kosten (Lizenzen, Allg. Geschäftsbetrieb)" xr:uid="{6AE07F7A-07A2-4129-ABF6-C41E99B54BD4}"/>
    <hyperlink ref="B22" location="Rechtsk.FSen" display="Rechtsangelegenheiten" xr:uid="{CECDE1EC-1D0E-477D-A781-DD8098E5F9E8}"/>
    <hyperlink ref="B7" location="M_I_Sonst_Einnahmen" display="Sonstige Einnahmen (Vorauszahlungen Bewirtung, Werbung, …)" xr:uid="{F0A49598-4F8A-4F0A-9151-FC61E34E4C6F}"/>
    <hyperlink ref="B6" location="M_I_TN_Beiträge_II" display="Teilnahmebeiträge Veranstaltungen" xr:uid="{FA2D70B9-2A71-4550-BC6B-A362A2C66003}"/>
    <hyperlink ref="B5" location="M_I_TN_Beiträge_I" display="Teilnahmebeiträge Seminare" xr:uid="{F9F94A34-56B0-495B-A0DF-4EC38D1AFC7A}"/>
    <hyperlink ref="H11" location="AEFKM_I_413.21" display="AEFKM_I_413.21" xr:uid="{B45DA173-9964-41FB-AA7F-DA1B82A56FFC}"/>
    <hyperlink ref="H12" location="AEFKM_I_527.40" display="AEFKM_I_527.40" xr:uid="{EEC51F52-B571-4EAF-BBD2-733D0CC4CADB}"/>
    <hyperlink ref="H13" location="AEFKM_I_529.40" display="AEFKM_I_529.40" xr:uid="{41EB59C7-9D05-4D73-8F86-1A2ABB464BE8}"/>
    <hyperlink ref="H14" location="AEFKM_I_531.40" display="AEFKM_I_531.40" xr:uid="{BA6C0ED2-0C3D-4A77-9876-905AB2A0565E}"/>
    <hyperlink ref="H15" location="SemM_I_551.10" display="SemM_I_551.10" xr:uid="{D622ECC2-828E-42B3-97F3-C2AE5D8B9020}"/>
    <hyperlink ref="H17" location="SemM_I_551.30" display="SemM_I_551.30" xr:uid="{CE50F63D-237E-4EC6-844E-2A2E1326A7F6}"/>
    <hyperlink ref="H18" location="SemM_I_551.40" display="SemM_I_551.40" xr:uid="{3B4B98E0-34D9-4B51-8F0B-1EBCE07F253B}"/>
    <hyperlink ref="H19" location="SemM_I_551.50" display="SemM_I_551.50" xr:uid="{980B6A80-DB80-40B0-9384-493752F0669D}"/>
    <hyperlink ref="H20" location="MaßnM_I_551.60" display="MaßnM_I_551.60" xr:uid="{351CFB5F-A6EF-4051-B8C0-58FF6881BA78}"/>
    <hyperlink ref="H21" location="MaßnM_I_551.70" display="MaßnM_I_551.70" xr:uid="{846624AF-F7CA-42C6-B3B5-5D1FF7499162}"/>
    <hyperlink ref="H22" location="MaßnM_I_560.70" display="MaßnM_I_560.70" xr:uid="{F6D778A0-EE88-4490-8E03-53303FD1BC5D}"/>
    <hyperlink ref="H5" location="SemM_I_210.10" display="SemM_I_210.10" xr:uid="{D8D9B726-D537-4335-87DE-84D06835B56D}"/>
    <hyperlink ref="H6" location="MaßnM_I_220.10" display="MaßnM_I_220.10" xr:uid="{C929E3F5-9403-40DE-9306-977202E37484}"/>
    <hyperlink ref="H7" location="MaßnM_I_230.10" display="MaßnM_I_230.10" xr:uid="{0568F957-2869-4111-87BC-36481419C105}"/>
    <hyperlink ref="C47" location="M_I!F5" display="M_I!F5" xr:uid="{D3642656-6751-46DE-AD78-208898DA48DE}"/>
    <hyperlink ref="D47" location="M_I!F6" display="M_I!F6" xr:uid="{3C82C788-20D9-4420-B3F7-BA866FC27D7E}"/>
    <hyperlink ref="E47" location="M_I!F7" display="M_I!F7" xr:uid="{844F8FD9-B2D3-4090-938B-516DB2702C5F}"/>
    <hyperlink ref="C65" location="M_I!F6" display="M_I!F6" xr:uid="{80FEF875-3110-4F75-A555-229C865025B5}"/>
    <hyperlink ref="D65" location="M_I!F7" display="M_I!F7" xr:uid="{5E7D08CB-BD91-4C51-8A62-9FCEFF1D53BD}"/>
    <hyperlink ref="E65" location="M_I!F11" display="M_I!F11" xr:uid="{7E8687FC-F6C4-43C2-8055-38D1F1B23916}"/>
    <hyperlink ref="E80" location="M_I!F11" display="M_I!F11" xr:uid="{ACE79980-A818-4AC4-843A-E00F16832C95}"/>
    <hyperlink ref="F65" location="M_I!F12" display="M_I!F12" xr:uid="{D56C3FC7-9F41-49CE-8903-11785E255805}"/>
    <hyperlink ref="F80" location="M_I!F12" display="M_I!F12" xr:uid="{E314329A-35D2-4693-926C-4F176A58912F}"/>
    <hyperlink ref="G65" location="M_I!F13" display="M_I!F13" xr:uid="{3A3D88E5-E530-4274-8515-75898B4BEFB8}"/>
    <hyperlink ref="G80" location="M_I!F13" display="M_I!F13" xr:uid="{9F35EA78-B235-4B1F-8240-795700F5DEE2}"/>
    <hyperlink ref="H65" location="M_I!F14" display="M_I!F14" xr:uid="{2716B283-BCB3-42E5-BE4B-E6DC9B313750}"/>
    <hyperlink ref="H80" location="M_I!F14" display="M_I!F14" xr:uid="{2E72E044-CE78-4281-BBF0-050B01AAAC23}"/>
    <hyperlink ref="F47" location="M_I!F15" display="M_I!F15" xr:uid="{7EF46CAE-2B7B-44E1-BF85-9CD61390043A}"/>
    <hyperlink ref="G47" location="M_I!F16" display="M_I!F16" xr:uid="{5CB9AA7A-9711-432F-8777-F192F6D1E4C7}"/>
    <hyperlink ref="I65" location="M_I!F18" display="M_I!F18" xr:uid="{91A67B8F-F771-423E-B759-2B1706126007}"/>
    <hyperlink ref="J65" location="M_I!F19" display="M_I!F19" xr:uid="{FDEA2927-023D-4A8D-BBB7-C6D8021B3D0B}"/>
    <hyperlink ref="K65" location="M_I!F20" display="M_I!F20" xr:uid="{8E6528F2-F029-448B-85ED-D8C624A67C8A}"/>
    <hyperlink ref="H47" location="M_I!F17" display="M_I!F17" xr:uid="{95EA055F-A6D9-4E47-A4E5-DBA14CE686D4}"/>
    <hyperlink ref="I47" location="M_I!F18" display="M_I!F18" xr:uid="{BE4FDD67-2539-4C17-AABB-6B05747A0ADE}"/>
    <hyperlink ref="J47" location="M_I!F19" display="M_I!F19" xr:uid="{94B2471B-EFEF-4A9F-A618-9842A782F767}"/>
    <hyperlink ref="K47" location="M_I!F20" display="M_I!F20" xr:uid="{A9F9179F-C943-4735-B760-7C42F11D28EE}"/>
    <hyperlink ref="L65" location="M_I!F21" display="M_I!F21" xr:uid="{906AF706-16CC-4991-A25A-BED41BEC1D6B}"/>
    <hyperlink ref="M65" location="M_I!F22" display="M_I!F22" xr:uid="{7B923BC6-8D26-4DF9-984E-8FA2FEE1AEC0}"/>
  </hyperlinks>
  <pageMargins left="0.7" right="0.7" top="0.78740157499999996" bottom="0.78740157499999996" header="0.3" footer="0.3"/>
  <pageSetup paperSize="9" orientation="landscape" verticalDpi="0" r:id="rId1"/>
  <legacyDrawing r:id="rId2"/>
  <tableParts count="7">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8F849-D9CA-493F-8D54-E8CD8C389540}">
  <sheetPr codeName="Tabelle4"/>
  <dimension ref="A1:R138"/>
  <sheetViews>
    <sheetView zoomScaleNormal="100" workbookViewId="0">
      <pane xSplit="1" ySplit="8" topLeftCell="B55" activePane="bottomRight" state="frozen"/>
      <selection pane="topRight" activeCell="B1" sqref="B1"/>
      <selection pane="bottomLeft" activeCell="A8" sqref="A8"/>
      <selection pane="bottomRight" activeCell="C64" sqref="C64"/>
    </sheetView>
  </sheetViews>
  <sheetFormatPr baseColWidth="10" defaultColWidth="11.5" defaultRowHeight="15" outlineLevelRow="2" x14ac:dyDescent="0.2"/>
  <cols>
    <col min="1" max="1" width="42.5" customWidth="1"/>
    <col min="2" max="18" width="13.6640625" customWidth="1"/>
  </cols>
  <sheetData>
    <row r="1" spans="1:18" ht="65" thickBot="1" x14ac:dyDescent="0.25">
      <c r="A1" s="47" t="s">
        <v>625</v>
      </c>
      <c r="B1" s="279" t="s">
        <v>626</v>
      </c>
      <c r="C1" s="280" t="s">
        <v>323</v>
      </c>
      <c r="D1" s="280" t="s">
        <v>627</v>
      </c>
      <c r="E1" s="280" t="s">
        <v>326</v>
      </c>
      <c r="F1" s="280" t="s">
        <v>628</v>
      </c>
      <c r="G1" s="280" t="s">
        <v>629</v>
      </c>
      <c r="H1" s="280" t="s">
        <v>630</v>
      </c>
      <c r="I1" s="280" t="s">
        <v>631</v>
      </c>
      <c r="J1" s="280" t="s">
        <v>334</v>
      </c>
      <c r="K1" s="280" t="s">
        <v>632</v>
      </c>
      <c r="L1" s="280" t="s">
        <v>423</v>
      </c>
      <c r="M1" s="280" t="s">
        <v>522</v>
      </c>
      <c r="N1" s="280" t="s">
        <v>633</v>
      </c>
      <c r="O1" s="280" t="s">
        <v>634</v>
      </c>
      <c r="P1" s="280" t="s">
        <v>635</v>
      </c>
      <c r="Q1" s="280" t="s">
        <v>636</v>
      </c>
      <c r="R1" s="281" t="s">
        <v>118</v>
      </c>
    </row>
    <row r="2" spans="1:18" ht="23.25" customHeight="1" thickBot="1" x14ac:dyDescent="0.25">
      <c r="A2" s="70" t="s">
        <v>540</v>
      </c>
      <c r="B2" s="282">
        <f>1150</f>
        <v>1150</v>
      </c>
      <c r="C2" s="283">
        <f>8050</f>
        <v>8050</v>
      </c>
      <c r="D2" s="283">
        <f>17800</f>
        <v>17800</v>
      </c>
      <c r="E2" s="283">
        <f>2300</f>
        <v>2300</v>
      </c>
      <c r="F2" s="283">
        <f>2500</f>
        <v>2500</v>
      </c>
      <c r="G2" s="176">
        <f>13500</f>
        <v>13500</v>
      </c>
      <c r="H2" s="176">
        <f>5960</f>
        <v>5960</v>
      </c>
      <c r="I2" s="176">
        <f>22000</f>
        <v>22000</v>
      </c>
      <c r="J2" s="176">
        <f>0</f>
        <v>0</v>
      </c>
      <c r="K2" s="176">
        <f>2100</f>
        <v>2100</v>
      </c>
      <c r="L2" s="974"/>
      <c r="M2" s="45">
        <f>SUBTOTAL(9,B2:K2)</f>
        <v>75360</v>
      </c>
      <c r="N2" s="268">
        <f>0</f>
        <v>0</v>
      </c>
      <c r="O2" s="268">
        <f>0</f>
        <v>0</v>
      </c>
      <c r="P2" s="268">
        <f>0</f>
        <v>0</v>
      </c>
      <c r="Q2" s="975">
        <f>0</f>
        <v>0</v>
      </c>
      <c r="R2" s="284">
        <f>0</f>
        <v>0</v>
      </c>
    </row>
    <row r="3" spans="1:18" ht="23.25" customHeight="1" thickBot="1" x14ac:dyDescent="0.25">
      <c r="A3" s="70" t="s">
        <v>541</v>
      </c>
      <c r="B3" s="39">
        <v>9180</v>
      </c>
      <c r="C3" s="40">
        <v>10200</v>
      </c>
      <c r="D3" s="40">
        <v>16800</v>
      </c>
      <c r="E3" s="40">
        <v>3850</v>
      </c>
      <c r="F3" s="984">
        <v>5050</v>
      </c>
      <c r="G3" s="976">
        <v>10100</v>
      </c>
      <c r="H3" s="40">
        <v>16250</v>
      </c>
      <c r="I3" s="40">
        <v>4730</v>
      </c>
      <c r="J3" s="40">
        <v>3150</v>
      </c>
      <c r="K3" s="40">
        <v>11700</v>
      </c>
      <c r="L3" s="40">
        <v>5500</v>
      </c>
      <c r="M3" s="45">
        <v>96510</v>
      </c>
      <c r="N3" s="41">
        <v>5200</v>
      </c>
      <c r="O3" s="41">
        <v>5050</v>
      </c>
      <c r="P3" s="41">
        <v>0</v>
      </c>
      <c r="Q3" s="41">
        <v>13300</v>
      </c>
      <c r="R3" s="46">
        <f>[2]!Tabelle8[[#Totals],[Einnahmen Gesamt]]</f>
        <v>21550</v>
      </c>
    </row>
    <row r="4" spans="1:18" ht="23.25" customHeight="1" thickBot="1" x14ac:dyDescent="0.25">
      <c r="A4" s="140" t="s">
        <v>1302</v>
      </c>
      <c r="B4" s="193">
        <f>Tabelle8[[#Totals],[Honorare Dozierende]]</f>
        <v>19390</v>
      </c>
      <c r="C4" s="176">
        <f>Tabelle8[[#Totals],[Andere Honorare]]</f>
        <v>13770</v>
      </c>
      <c r="D4" s="176">
        <f>Tabelle8[[#Totals],[Interne Reisekosten]]</f>
        <v>26000</v>
      </c>
      <c r="E4" s="176">
        <f>Tabelle8[[#Totals],[Externe Reisekosten]]</f>
        <v>2900</v>
      </c>
      <c r="F4" s="176">
        <f>Tabelle8[[#Totals],[Bewirtung/Repräsentation int.]]</f>
        <v>2548</v>
      </c>
      <c r="G4" s="176">
        <f>Tabelle8[[#Totals],[Bewirtung/Repräsentation ext.]]</f>
        <v>2900</v>
      </c>
      <c r="H4" s="176">
        <f>Tabelle8[[#Totals],[Raum- und Unterkunftskosten int.]]</f>
        <v>22791</v>
      </c>
      <c r="I4" s="176">
        <f>Tabelle8[[#Totals],[Raum- und Unterkunftskosten ext.]]</f>
        <v>2206</v>
      </c>
      <c r="J4" s="176">
        <f>Tabelle8[[#Totals],[Druckkosten]]</f>
        <v>9025</v>
      </c>
      <c r="K4" s="176">
        <f>Tabelle8[[#Totals],[Sonstige Ausgaben]]</f>
        <v>48390</v>
      </c>
      <c r="L4" s="176">
        <f>Tabelle8[[#Totals],[IT-Dienstleistungen]]</f>
        <v>72288</v>
      </c>
      <c r="M4" s="45">
        <f>SUM(B4:L4)</f>
        <v>222208</v>
      </c>
      <c r="N4" s="268">
        <f>Tabelle8[[#Totals],[Teilnahmebeiträge Seminare]]</f>
        <v>2500</v>
      </c>
      <c r="O4" s="268">
        <f>Tabelle8[[#Totals],[Teilnahmebeiträge Veranstaltungen]]</f>
        <v>450</v>
      </c>
      <c r="P4" s="268">
        <f>Tabelle8[[#Totals],[Bewirtung Veranst.]]</f>
        <v>0</v>
      </c>
      <c r="Q4" s="268">
        <f>Tabelle8[[#Totals],[Förderungen]]</f>
        <v>9176.25</v>
      </c>
      <c r="R4" s="46">
        <f>Tabelle8[[#Totals],[Einnahmen Gesamt]]</f>
        <v>12126.25</v>
      </c>
    </row>
    <row r="5" spans="1:18" x14ac:dyDescent="0.2">
      <c r="A5" s="118" t="s">
        <v>637</v>
      </c>
    </row>
    <row r="6" spans="1:18" ht="20" thickBot="1" x14ac:dyDescent="0.3">
      <c r="A6" s="11" t="s">
        <v>638</v>
      </c>
    </row>
    <row r="7" spans="1:18" ht="23.25" customHeight="1" x14ac:dyDescent="0.2">
      <c r="A7" s="70" t="s">
        <v>639</v>
      </c>
      <c r="B7" s="285" t="s">
        <v>318</v>
      </c>
      <c r="C7" s="286" t="s">
        <v>321</v>
      </c>
      <c r="D7" s="286" t="s">
        <v>239</v>
      </c>
      <c r="E7" s="286" t="s">
        <v>324</v>
      </c>
      <c r="F7" s="286" t="s">
        <v>288</v>
      </c>
      <c r="G7" s="286" t="s">
        <v>327</v>
      </c>
      <c r="H7" s="286" t="s">
        <v>263</v>
      </c>
      <c r="I7" s="286" t="s">
        <v>330</v>
      </c>
      <c r="J7" s="286" t="s">
        <v>333</v>
      </c>
      <c r="K7" s="286" t="s">
        <v>335</v>
      </c>
      <c r="L7" s="286" t="s">
        <v>421</v>
      </c>
      <c r="M7" s="286"/>
      <c r="N7" s="287" t="s">
        <v>34</v>
      </c>
      <c r="O7" s="287" t="s">
        <v>37</v>
      </c>
      <c r="P7" s="287" t="s">
        <v>45</v>
      </c>
      <c r="Q7" s="287" t="s">
        <v>49</v>
      </c>
      <c r="R7" s="288"/>
    </row>
    <row r="8" spans="1:18" ht="49" outlineLevel="1" thickBot="1" x14ac:dyDescent="0.25">
      <c r="A8" s="48" t="s">
        <v>640</v>
      </c>
      <c r="B8" s="29" t="s">
        <v>626</v>
      </c>
      <c r="C8" s="29" t="s">
        <v>323</v>
      </c>
      <c r="D8" s="29" t="s">
        <v>627</v>
      </c>
      <c r="E8" s="29" t="s">
        <v>326</v>
      </c>
      <c r="F8" s="29" t="s">
        <v>628</v>
      </c>
      <c r="G8" s="29" t="s">
        <v>629</v>
      </c>
      <c r="H8" s="29" t="s">
        <v>630</v>
      </c>
      <c r="I8" s="29" t="s">
        <v>631</v>
      </c>
      <c r="J8" s="29" t="s">
        <v>334</v>
      </c>
      <c r="K8" s="29" t="s">
        <v>632</v>
      </c>
      <c r="L8" s="29" t="s">
        <v>423</v>
      </c>
      <c r="M8" s="29" t="s">
        <v>522</v>
      </c>
      <c r="N8" s="29" t="s">
        <v>633</v>
      </c>
      <c r="O8" s="29" t="s">
        <v>634</v>
      </c>
      <c r="P8" s="29" t="s">
        <v>635</v>
      </c>
      <c r="Q8" s="29" t="s">
        <v>636</v>
      </c>
      <c r="R8" s="29" t="s">
        <v>118</v>
      </c>
    </row>
    <row r="9" spans="1:18" ht="17" outlineLevel="1" thickBot="1" x14ac:dyDescent="0.25">
      <c r="A9" s="31" t="s">
        <v>641</v>
      </c>
      <c r="B9" s="35"/>
      <c r="C9" s="35"/>
      <c r="D9" s="35"/>
      <c r="E9" s="35"/>
      <c r="F9" s="35"/>
      <c r="G9" s="35"/>
      <c r="H9" s="35"/>
      <c r="I9" s="35"/>
      <c r="J9" s="35"/>
      <c r="K9" s="35"/>
      <c r="L9" s="35"/>
      <c r="M9" s="35"/>
      <c r="N9" s="36"/>
      <c r="O9" s="36"/>
      <c r="P9" s="36"/>
      <c r="Q9" s="36"/>
      <c r="R9" s="37"/>
    </row>
    <row r="10" spans="1:18" s="67" customFormat="1" ht="16" outlineLevel="2" x14ac:dyDescent="0.2">
      <c r="A10" s="297" t="s">
        <v>1321</v>
      </c>
      <c r="B10" s="290"/>
      <c r="C10" s="290"/>
      <c r="D10" s="298">
        <v>1000</v>
      </c>
      <c r="E10" s="290"/>
      <c r="F10" s="290"/>
      <c r="G10" s="290"/>
      <c r="H10" s="290"/>
      <c r="I10" s="290"/>
      <c r="J10" s="290"/>
      <c r="K10" s="290"/>
      <c r="L10" s="298">
        <v>1000</v>
      </c>
      <c r="M10" s="291">
        <f>SUM(B10:L10)</f>
        <v>2000</v>
      </c>
      <c r="N10" s="290"/>
      <c r="O10" s="290"/>
      <c r="P10" s="290"/>
      <c r="Q10" s="290"/>
      <c r="R10" s="292">
        <f>SUM(N10:Q10)</f>
        <v>0</v>
      </c>
    </row>
    <row r="11" spans="1:18" s="67" customFormat="1" ht="16" outlineLevel="2" x14ac:dyDescent="0.2">
      <c r="A11" s="890" t="s">
        <v>1322</v>
      </c>
      <c r="B11" s="274"/>
      <c r="C11" s="274"/>
      <c r="D11" s="892">
        <v>1500</v>
      </c>
      <c r="E11" s="274"/>
      <c r="F11" s="274"/>
      <c r="G11" s="274"/>
      <c r="H11" s="274"/>
      <c r="I11" s="274"/>
      <c r="J11" s="274"/>
      <c r="K11" s="274"/>
      <c r="L11" s="892">
        <f>249*12</f>
        <v>2988</v>
      </c>
      <c r="M11" s="274">
        <f t="shared" ref="M11:M13" si="0">SUM(B11:L11)</f>
        <v>4488</v>
      </c>
      <c r="N11" s="274"/>
      <c r="O11" s="274"/>
      <c r="P11" s="274"/>
      <c r="Q11" s="274"/>
      <c r="R11" s="294">
        <f t="shared" ref="R11:R14" si="1">SUM(N11:Q11)</f>
        <v>0</v>
      </c>
    </row>
    <row r="12" spans="1:18" s="67" customFormat="1" ht="256" outlineLevel="2" x14ac:dyDescent="0.2">
      <c r="A12" s="890" t="s">
        <v>1362</v>
      </c>
      <c r="B12" s="274"/>
      <c r="C12" s="274"/>
      <c r="D12" s="892">
        <v>1000</v>
      </c>
      <c r="E12" s="274"/>
      <c r="F12" s="274"/>
      <c r="G12" s="274"/>
      <c r="H12" s="274"/>
      <c r="I12" s="274"/>
      <c r="J12" s="274"/>
      <c r="K12" s="274"/>
      <c r="L12" s="892">
        <f>500*12</f>
        <v>6000</v>
      </c>
      <c r="M12" s="274">
        <f t="shared" si="0"/>
        <v>7000</v>
      </c>
      <c r="N12" s="274"/>
      <c r="O12" s="274"/>
      <c r="P12" s="274"/>
      <c r="Q12" s="274"/>
      <c r="R12" s="294">
        <f t="shared" si="1"/>
        <v>0</v>
      </c>
    </row>
    <row r="13" spans="1:18" s="67" customFormat="1" ht="16" outlineLevel="2" x14ac:dyDescent="0.2">
      <c r="A13" s="891" t="s">
        <v>1323</v>
      </c>
      <c r="B13" s="263"/>
      <c r="C13" s="263"/>
      <c r="D13" s="870">
        <v>2000</v>
      </c>
      <c r="E13" s="263"/>
      <c r="F13" s="263"/>
      <c r="G13" s="263"/>
      <c r="H13" s="263"/>
      <c r="I13" s="263"/>
      <c r="J13" s="263"/>
      <c r="K13" s="263"/>
      <c r="L13" s="263"/>
      <c r="M13" s="274">
        <f t="shared" si="0"/>
        <v>2000</v>
      </c>
      <c r="N13" s="263"/>
      <c r="O13" s="263"/>
      <c r="P13" s="263"/>
      <c r="Q13" s="263"/>
      <c r="R13" s="296">
        <f t="shared" si="1"/>
        <v>0</v>
      </c>
    </row>
    <row r="14" spans="1:18" s="67" customFormat="1" ht="17" outlineLevel="2" thickBot="1" x14ac:dyDescent="0.25">
      <c r="A14" s="295" t="s">
        <v>642</v>
      </c>
      <c r="B14" s="263">
        <v>1000</v>
      </c>
      <c r="C14" s="263">
        <v>1000</v>
      </c>
      <c r="D14" s="263">
        <v>1000</v>
      </c>
      <c r="E14" s="263">
        <v>500</v>
      </c>
      <c r="F14" s="263">
        <v>100</v>
      </c>
      <c r="G14" s="263">
        <v>100</v>
      </c>
      <c r="H14" s="263">
        <v>500</v>
      </c>
      <c r="I14" s="263">
        <v>200</v>
      </c>
      <c r="J14" s="263">
        <v>500</v>
      </c>
      <c r="K14" s="263">
        <v>500</v>
      </c>
      <c r="L14" s="263">
        <v>500</v>
      </c>
      <c r="M14" s="273">
        <f>SUM(B14:L14)</f>
        <v>5900</v>
      </c>
      <c r="N14" s="263"/>
      <c r="O14" s="263"/>
      <c r="P14" s="263"/>
      <c r="Q14" s="263"/>
      <c r="R14" s="296">
        <f t="shared" si="1"/>
        <v>0</v>
      </c>
    </row>
    <row r="15" spans="1:18" ht="17" outlineLevel="1" thickBot="1" x14ac:dyDescent="0.25">
      <c r="A15" s="38" t="s">
        <v>643</v>
      </c>
      <c r="B15" s="39">
        <f t="shared" ref="B15:L15" si="2">SUBTOTAL(9,B10:B14)</f>
        <v>1000</v>
      </c>
      <c r="C15" s="40">
        <f t="shared" si="2"/>
        <v>1000</v>
      </c>
      <c r="D15" s="40">
        <f t="shared" si="2"/>
        <v>6500</v>
      </c>
      <c r="E15" s="40">
        <f t="shared" si="2"/>
        <v>500</v>
      </c>
      <c r="F15" s="40">
        <f t="shared" si="2"/>
        <v>100</v>
      </c>
      <c r="G15" s="40">
        <f t="shared" si="2"/>
        <v>100</v>
      </c>
      <c r="H15" s="40">
        <f t="shared" si="2"/>
        <v>500</v>
      </c>
      <c r="I15" s="40">
        <f t="shared" si="2"/>
        <v>200</v>
      </c>
      <c r="J15" s="40">
        <f t="shared" si="2"/>
        <v>500</v>
      </c>
      <c r="K15" s="40">
        <f t="shared" si="2"/>
        <v>500</v>
      </c>
      <c r="L15" s="40">
        <f t="shared" si="2"/>
        <v>10488</v>
      </c>
      <c r="M15" s="40">
        <f>SUM(B15:L15)</f>
        <v>21388</v>
      </c>
      <c r="N15" s="41">
        <f>SUBTOTAL(9,N10:N14)</f>
        <v>0</v>
      </c>
      <c r="O15" s="41">
        <f>SUBTOTAL(9,O10:O14)</f>
        <v>0</v>
      </c>
      <c r="P15" s="41">
        <f>SUBTOTAL(9,P10:P14)</f>
        <v>0</v>
      </c>
      <c r="Q15" s="41">
        <f>SUBTOTAL(9,Q10:Q14)</f>
        <v>0</v>
      </c>
      <c r="R15" s="42">
        <f>SUBTOTAL(9,R10:R14)</f>
        <v>0</v>
      </c>
    </row>
    <row r="16" spans="1:18" outlineLevel="1" x14ac:dyDescent="0.2">
      <c r="A16" s="26"/>
      <c r="B16" s="43"/>
      <c r="C16" s="43"/>
      <c r="D16" s="43"/>
      <c r="E16" s="43"/>
      <c r="F16" s="43"/>
      <c r="G16" s="43"/>
      <c r="H16" s="43"/>
      <c r="I16" s="43"/>
      <c r="J16" s="43"/>
      <c r="K16" s="43"/>
      <c r="L16" s="43"/>
      <c r="M16" s="43"/>
      <c r="N16" s="43"/>
      <c r="O16" s="43"/>
      <c r="P16" s="43"/>
      <c r="Q16" s="43"/>
      <c r="R16" s="44"/>
    </row>
    <row r="17" spans="1:18" ht="17" outlineLevel="1" thickBot="1" x14ac:dyDescent="0.25">
      <c r="A17" s="31" t="s">
        <v>644</v>
      </c>
      <c r="B17" s="35"/>
      <c r="C17" s="35"/>
      <c r="D17" s="35"/>
      <c r="E17" s="35"/>
      <c r="F17" s="35"/>
      <c r="G17" s="35"/>
      <c r="H17" s="35"/>
      <c r="I17" s="35"/>
      <c r="J17" s="35"/>
      <c r="K17" s="35"/>
      <c r="L17" s="35"/>
      <c r="M17" s="35"/>
      <c r="N17" s="36"/>
      <c r="O17" s="36"/>
      <c r="P17" s="36"/>
      <c r="Q17" s="36"/>
      <c r="R17" s="37"/>
    </row>
    <row r="18" spans="1:18" s="67" customFormat="1" ht="32" outlineLevel="2" x14ac:dyDescent="0.2">
      <c r="A18" s="289" t="s">
        <v>645</v>
      </c>
      <c r="B18" s="290"/>
      <c r="C18" s="290"/>
      <c r="D18" s="290">
        <v>800</v>
      </c>
      <c r="E18" s="290"/>
      <c r="F18" s="290">
        <v>100</v>
      </c>
      <c r="G18" s="290">
        <v>100</v>
      </c>
      <c r="H18" s="290">
        <v>600</v>
      </c>
      <c r="I18" s="290"/>
      <c r="J18" s="290"/>
      <c r="K18" s="290">
        <v>800</v>
      </c>
      <c r="L18" s="290"/>
      <c r="M18" s="291">
        <f>SUM(B18:L18)</f>
        <v>2400</v>
      </c>
      <c r="N18" s="290"/>
      <c r="O18" s="290"/>
      <c r="P18" s="290"/>
      <c r="Q18" s="290"/>
      <c r="R18" s="292">
        <f>SUM(N18:Q18)</f>
        <v>0</v>
      </c>
    </row>
    <row r="19" spans="1:18" s="67" customFormat="1" ht="32" outlineLevel="2" x14ac:dyDescent="0.2">
      <c r="A19" s="293" t="s">
        <v>646</v>
      </c>
      <c r="B19" s="274"/>
      <c r="C19" s="274">
        <v>600</v>
      </c>
      <c r="D19" s="274">
        <v>200</v>
      </c>
      <c r="E19" s="274"/>
      <c r="F19" s="274"/>
      <c r="G19" s="274"/>
      <c r="H19" s="274"/>
      <c r="I19" s="274"/>
      <c r="J19" s="274"/>
      <c r="K19" s="274">
        <v>100</v>
      </c>
      <c r="L19" s="274">
        <v>500</v>
      </c>
      <c r="M19" s="274">
        <f t="shared" ref="M19:M22" si="3">SUM(B19:L19)</f>
        <v>1400</v>
      </c>
      <c r="N19" s="274"/>
      <c r="O19" s="274"/>
      <c r="P19" s="274"/>
      <c r="Q19" s="274"/>
      <c r="R19" s="294">
        <f t="shared" ref="R19:R22" si="4">SUM(N19:Q19)</f>
        <v>0</v>
      </c>
    </row>
    <row r="20" spans="1:18" s="67" customFormat="1" ht="32" outlineLevel="2" x14ac:dyDescent="0.2">
      <c r="A20" s="293" t="s">
        <v>1354</v>
      </c>
      <c r="B20" s="274"/>
      <c r="C20" s="274"/>
      <c r="D20" s="274">
        <v>200</v>
      </c>
      <c r="E20" s="274">
        <v>300</v>
      </c>
      <c r="F20" s="274">
        <v>100</v>
      </c>
      <c r="G20" s="274">
        <v>100</v>
      </c>
      <c r="H20" s="274">
        <v>200</v>
      </c>
      <c r="I20" s="274">
        <v>200</v>
      </c>
      <c r="J20" s="274">
        <v>0</v>
      </c>
      <c r="K20" s="274">
        <v>2000</v>
      </c>
      <c r="L20" s="274">
        <v>4000</v>
      </c>
      <c r="M20" s="274">
        <f t="shared" si="3"/>
        <v>7100</v>
      </c>
      <c r="N20" s="274"/>
      <c r="O20" s="274">
        <v>250</v>
      </c>
      <c r="P20" s="274"/>
      <c r="Q20" s="274"/>
      <c r="R20" s="294">
        <f t="shared" si="4"/>
        <v>250</v>
      </c>
    </row>
    <row r="21" spans="1:18" s="67" customFormat="1" outlineLevel="2" x14ac:dyDescent="0.2">
      <c r="A21" s="295"/>
      <c r="B21" s="263"/>
      <c r="C21" s="263"/>
      <c r="D21" s="263"/>
      <c r="E21" s="263"/>
      <c r="F21" s="263"/>
      <c r="G21" s="263"/>
      <c r="H21" s="263"/>
      <c r="I21" s="263"/>
      <c r="J21" s="263"/>
      <c r="K21" s="263"/>
      <c r="L21" s="263"/>
      <c r="M21" s="274">
        <f t="shared" si="3"/>
        <v>0</v>
      </c>
      <c r="N21" s="263"/>
      <c r="O21" s="263"/>
      <c r="P21" s="263"/>
      <c r="Q21" s="263"/>
      <c r="R21" s="296">
        <f t="shared" si="4"/>
        <v>0</v>
      </c>
    </row>
    <row r="22" spans="1:18" s="67" customFormat="1" ht="17" outlineLevel="2" thickBot="1" x14ac:dyDescent="0.25">
      <c r="A22" s="295" t="s">
        <v>642</v>
      </c>
      <c r="B22" s="263"/>
      <c r="C22" s="263">
        <v>300</v>
      </c>
      <c r="D22" s="263"/>
      <c r="E22" s="263">
        <v>200</v>
      </c>
      <c r="F22" s="263">
        <v>100</v>
      </c>
      <c r="G22" s="263">
        <v>50</v>
      </c>
      <c r="H22" s="263"/>
      <c r="I22" s="263">
        <v>50</v>
      </c>
      <c r="J22" s="263">
        <v>25</v>
      </c>
      <c r="K22" s="263">
        <v>100</v>
      </c>
      <c r="L22" s="263">
        <v>500</v>
      </c>
      <c r="M22" s="273">
        <f t="shared" si="3"/>
        <v>1325</v>
      </c>
      <c r="N22" s="263"/>
      <c r="O22" s="263"/>
      <c r="P22" s="263"/>
      <c r="Q22" s="263"/>
      <c r="R22" s="296">
        <f t="shared" si="4"/>
        <v>0</v>
      </c>
    </row>
    <row r="23" spans="1:18" ht="17" outlineLevel="1" thickBot="1" x14ac:dyDescent="0.25">
      <c r="A23" s="38" t="s">
        <v>643</v>
      </c>
      <c r="B23" s="39">
        <f>SUBTOTAL(9,B18:B22)</f>
        <v>0</v>
      </c>
      <c r="C23" s="40">
        <f t="shared" ref="C23" si="5">SUBTOTAL(9,C18:C22)</f>
        <v>900</v>
      </c>
      <c r="D23" s="40">
        <f t="shared" ref="D23" si="6">SUBTOTAL(9,D18:D22)</f>
        <v>1200</v>
      </c>
      <c r="E23" s="40">
        <f t="shared" ref="E23" si="7">SUBTOTAL(9,E18:E22)</f>
        <v>500</v>
      </c>
      <c r="F23" s="40">
        <f t="shared" ref="F23" si="8">SUBTOTAL(9,F18:F22)</f>
        <v>300</v>
      </c>
      <c r="G23" s="40">
        <f t="shared" ref="G23" si="9">SUBTOTAL(9,G18:G22)</f>
        <v>250</v>
      </c>
      <c r="H23" s="40">
        <f t="shared" ref="H23" si="10">SUBTOTAL(9,H18:H22)</f>
        <v>800</v>
      </c>
      <c r="I23" s="40">
        <f t="shared" ref="I23" si="11">SUBTOTAL(9,I18:I22)</f>
        <v>250</v>
      </c>
      <c r="J23" s="40">
        <f t="shared" ref="J23" si="12">SUBTOTAL(9,J18:J22)</f>
        <v>25</v>
      </c>
      <c r="K23" s="40">
        <f t="shared" ref="K23:L23" si="13">SUBTOTAL(9,K18:K22)</f>
        <v>3000</v>
      </c>
      <c r="L23" s="40">
        <f t="shared" si="13"/>
        <v>5000</v>
      </c>
      <c r="M23" s="40">
        <f>SUM(B23:L23)</f>
        <v>12225</v>
      </c>
      <c r="N23" s="41">
        <f t="shared" ref="N23" si="14">SUBTOTAL(9,N18:N22)</f>
        <v>0</v>
      </c>
      <c r="O23" s="41">
        <f t="shared" ref="O23" si="15">SUBTOTAL(9,O18:O22)</f>
        <v>250</v>
      </c>
      <c r="P23" s="41">
        <f t="shared" ref="P23" si="16">SUBTOTAL(9,P18:P22)</f>
        <v>0</v>
      </c>
      <c r="Q23" s="41">
        <f t="shared" ref="Q23" si="17">SUBTOTAL(9,Q18:Q22)</f>
        <v>0</v>
      </c>
      <c r="R23" s="42">
        <f t="shared" ref="R23" si="18">SUBTOTAL(9,R18:R22)</f>
        <v>250</v>
      </c>
    </row>
    <row r="24" spans="1:18" outlineLevel="1" x14ac:dyDescent="0.2">
      <c r="A24" s="26"/>
      <c r="B24" s="43"/>
      <c r="C24" s="43"/>
      <c r="D24" s="43"/>
      <c r="E24" s="43"/>
      <c r="F24" s="43"/>
      <c r="G24" s="43"/>
      <c r="H24" s="43"/>
      <c r="I24" s="43"/>
      <c r="J24" s="43"/>
      <c r="K24" s="43"/>
      <c r="L24" s="43"/>
      <c r="M24" s="43"/>
      <c r="N24" s="43"/>
      <c r="O24" s="43"/>
      <c r="P24" s="43"/>
      <c r="Q24" s="43"/>
      <c r="R24" s="44"/>
    </row>
    <row r="25" spans="1:18" ht="17" outlineLevel="1" thickBot="1" x14ac:dyDescent="0.25">
      <c r="A25" s="31" t="s">
        <v>647</v>
      </c>
      <c r="B25" s="35"/>
      <c r="C25" s="35"/>
      <c r="D25" s="35"/>
      <c r="E25" s="35"/>
      <c r="F25" s="35"/>
      <c r="G25" s="35"/>
      <c r="H25" s="35"/>
      <c r="I25" s="35"/>
      <c r="J25" s="35"/>
      <c r="K25" s="35"/>
      <c r="L25" s="35"/>
      <c r="M25" s="35"/>
      <c r="N25" s="36"/>
      <c r="O25" s="36"/>
      <c r="P25" s="36"/>
      <c r="Q25" s="36"/>
      <c r="R25" s="37"/>
    </row>
    <row r="26" spans="1:18" s="67" customFormat="1" ht="16" outlineLevel="2" x14ac:dyDescent="0.2">
      <c r="A26" s="874" t="s">
        <v>648</v>
      </c>
      <c r="B26" s="879">
        <v>1250</v>
      </c>
      <c r="C26" s="879">
        <v>2870</v>
      </c>
      <c r="D26" s="879">
        <v>3000</v>
      </c>
      <c r="E26" s="879">
        <v>500</v>
      </c>
      <c r="F26" s="879">
        <v>1848</v>
      </c>
      <c r="G26" s="298"/>
      <c r="H26" s="879">
        <v>2271</v>
      </c>
      <c r="I26" s="879">
        <v>356</v>
      </c>
      <c r="J26" s="887"/>
      <c r="K26" s="879">
        <v>240</v>
      </c>
      <c r="L26" s="887"/>
      <c r="M26" s="291">
        <f>SUM(B26:L26)</f>
        <v>12335</v>
      </c>
      <c r="N26" s="879">
        <v>250</v>
      </c>
      <c r="O26" s="887"/>
      <c r="P26" s="887"/>
      <c r="Q26" s="879">
        <v>9176.25</v>
      </c>
      <c r="R26" s="292">
        <f>SUM(N26:Q26)</f>
        <v>9426.25</v>
      </c>
    </row>
    <row r="27" spans="1:18" s="67" customFormat="1" ht="32" outlineLevel="2" x14ac:dyDescent="0.2">
      <c r="A27" s="875" t="s">
        <v>1309</v>
      </c>
      <c r="B27" s="880">
        <v>660</v>
      </c>
      <c r="C27" s="872"/>
      <c r="D27" s="872"/>
      <c r="E27" s="872"/>
      <c r="F27" s="872"/>
      <c r="G27" s="872"/>
      <c r="H27" s="888"/>
      <c r="I27" s="888"/>
      <c r="J27" s="888"/>
      <c r="K27" s="888"/>
      <c r="L27" s="888"/>
      <c r="M27" s="228">
        <f t="shared" ref="M27:M34" si="19">SUM(B27:K27)</f>
        <v>660</v>
      </c>
      <c r="N27" s="872"/>
      <c r="O27" s="872"/>
      <c r="P27" s="872"/>
      <c r="Q27" s="872"/>
      <c r="R27" s="873"/>
    </row>
    <row r="28" spans="1:18" s="67" customFormat="1" ht="32" outlineLevel="2" x14ac:dyDescent="0.2">
      <c r="A28" s="875" t="s">
        <v>1310</v>
      </c>
      <c r="B28" s="880">
        <v>660</v>
      </c>
      <c r="C28" s="872"/>
      <c r="D28" s="872"/>
      <c r="E28" s="872"/>
      <c r="F28" s="872"/>
      <c r="G28" s="872"/>
      <c r="H28" s="888"/>
      <c r="I28" s="888"/>
      <c r="J28" s="888"/>
      <c r="K28" s="888"/>
      <c r="L28" s="888"/>
      <c r="M28" s="228">
        <f t="shared" si="19"/>
        <v>660</v>
      </c>
      <c r="N28" s="872"/>
      <c r="O28" s="872"/>
      <c r="P28" s="872"/>
      <c r="Q28" s="872"/>
      <c r="R28" s="873"/>
    </row>
    <row r="29" spans="1:18" s="67" customFormat="1" ht="32" outlineLevel="2" x14ac:dyDescent="0.2">
      <c r="A29" s="876" t="s">
        <v>1311</v>
      </c>
      <c r="B29" s="881">
        <v>440</v>
      </c>
      <c r="C29" s="872"/>
      <c r="D29" s="872"/>
      <c r="E29" s="872"/>
      <c r="F29" s="872"/>
      <c r="G29" s="872"/>
      <c r="H29" s="882"/>
      <c r="I29" s="882"/>
      <c r="J29" s="882"/>
      <c r="K29" s="882"/>
      <c r="L29" s="882"/>
      <c r="M29" s="228">
        <f t="shared" si="19"/>
        <v>440</v>
      </c>
      <c r="N29" s="872"/>
      <c r="O29" s="872"/>
      <c r="P29" s="872"/>
      <c r="Q29" s="872"/>
      <c r="R29" s="873"/>
    </row>
    <row r="30" spans="1:18" s="67" customFormat="1" ht="32" outlineLevel="2" x14ac:dyDescent="0.2">
      <c r="A30" s="876" t="s">
        <v>1312</v>
      </c>
      <c r="B30" s="881">
        <v>440</v>
      </c>
      <c r="C30" s="872"/>
      <c r="D30" s="872"/>
      <c r="E30" s="872"/>
      <c r="F30" s="872"/>
      <c r="G30" s="872"/>
      <c r="H30" s="882"/>
      <c r="I30" s="882"/>
      <c r="J30" s="882"/>
      <c r="K30" s="882"/>
      <c r="L30" s="882"/>
      <c r="M30" s="228">
        <f t="shared" si="19"/>
        <v>440</v>
      </c>
      <c r="N30" s="872"/>
      <c r="O30" s="872"/>
      <c r="P30" s="872"/>
      <c r="Q30" s="872"/>
      <c r="R30" s="873"/>
    </row>
    <row r="31" spans="1:18" s="67" customFormat="1" ht="16" outlineLevel="2" x14ac:dyDescent="0.2">
      <c r="A31" s="876" t="s">
        <v>649</v>
      </c>
      <c r="B31" s="881">
        <v>1500</v>
      </c>
      <c r="C31" s="872"/>
      <c r="D31" s="872"/>
      <c r="E31" s="872"/>
      <c r="F31" s="872"/>
      <c r="G31" s="872"/>
      <c r="H31" s="882"/>
      <c r="I31" s="882"/>
      <c r="J31" s="882"/>
      <c r="K31" s="882"/>
      <c r="L31" s="882"/>
      <c r="M31" s="228">
        <f t="shared" si="19"/>
        <v>1500</v>
      </c>
      <c r="N31" s="872"/>
      <c r="O31" s="872"/>
      <c r="P31" s="872"/>
      <c r="Q31" s="872"/>
      <c r="R31" s="873"/>
    </row>
    <row r="32" spans="1:18" s="67" customFormat="1" ht="16" outlineLevel="2" x14ac:dyDescent="0.2">
      <c r="A32" s="876" t="s">
        <v>650</v>
      </c>
      <c r="B32" s="882"/>
      <c r="C32" s="872"/>
      <c r="D32" s="872"/>
      <c r="E32" s="872"/>
      <c r="F32" s="872"/>
      <c r="G32" s="872"/>
      <c r="H32" s="882"/>
      <c r="I32" s="882"/>
      <c r="J32" s="882"/>
      <c r="K32" s="881">
        <v>2500</v>
      </c>
      <c r="L32" s="882"/>
      <c r="M32" s="228">
        <f t="shared" si="19"/>
        <v>2500</v>
      </c>
      <c r="N32" s="872"/>
      <c r="O32" s="872"/>
      <c r="P32" s="872"/>
      <c r="Q32" s="872"/>
      <c r="R32" s="873"/>
    </row>
    <row r="33" spans="1:18" s="67" customFormat="1" ht="32" outlineLevel="2" x14ac:dyDescent="0.2">
      <c r="A33" s="876" t="s">
        <v>1313</v>
      </c>
      <c r="B33" s="881">
        <v>750</v>
      </c>
      <c r="C33" s="872"/>
      <c r="D33" s="872"/>
      <c r="E33" s="872"/>
      <c r="F33" s="872"/>
      <c r="G33" s="872"/>
      <c r="H33" s="882"/>
      <c r="I33" s="882"/>
      <c r="J33" s="882"/>
      <c r="K33" s="882"/>
      <c r="L33" s="882"/>
      <c r="M33" s="228">
        <f t="shared" si="19"/>
        <v>750</v>
      </c>
      <c r="N33" s="872"/>
      <c r="O33" s="872"/>
      <c r="P33" s="872"/>
      <c r="Q33" s="872"/>
      <c r="R33" s="873"/>
    </row>
    <row r="34" spans="1:18" s="67" customFormat="1" ht="16" outlineLevel="2" x14ac:dyDescent="0.2">
      <c r="A34" s="876" t="s">
        <v>1314</v>
      </c>
      <c r="B34" s="881">
        <v>1000</v>
      </c>
      <c r="C34" s="872"/>
      <c r="D34" s="872"/>
      <c r="E34" s="872"/>
      <c r="F34" s="872"/>
      <c r="G34" s="872"/>
      <c r="H34" s="882"/>
      <c r="I34" s="882"/>
      <c r="J34" s="882"/>
      <c r="K34" s="882"/>
      <c r="L34" s="882"/>
      <c r="M34" s="228">
        <f t="shared" si="19"/>
        <v>1000</v>
      </c>
      <c r="N34" s="872"/>
      <c r="O34" s="872"/>
      <c r="P34" s="872"/>
      <c r="Q34" s="872"/>
      <c r="R34" s="873"/>
    </row>
    <row r="35" spans="1:18" s="67" customFormat="1" ht="16" outlineLevel="2" x14ac:dyDescent="0.2">
      <c r="A35" s="876" t="s">
        <v>1315</v>
      </c>
      <c r="B35" s="881">
        <v>750</v>
      </c>
      <c r="C35" s="269"/>
      <c r="D35" s="269"/>
      <c r="E35" s="269"/>
      <c r="F35" s="269"/>
      <c r="G35" s="269"/>
      <c r="H35" s="882"/>
      <c r="I35" s="882"/>
      <c r="J35" s="882"/>
      <c r="K35" s="882"/>
      <c r="L35" s="882"/>
      <c r="M35" s="274">
        <f t="shared" ref="M35:M50" si="20">SUM(B35:L35)</f>
        <v>750</v>
      </c>
      <c r="N35" s="269"/>
      <c r="O35" s="269"/>
      <c r="P35" s="269"/>
      <c r="Q35" s="269"/>
      <c r="R35" s="294">
        <f t="shared" ref="R35:R50" si="21">SUM(N35:Q35)</f>
        <v>0</v>
      </c>
    </row>
    <row r="36" spans="1:18" s="67" customFormat="1" outlineLevel="2" x14ac:dyDescent="0.2">
      <c r="A36" s="876"/>
      <c r="B36" s="882"/>
      <c r="C36" s="269"/>
      <c r="D36" s="269"/>
      <c r="E36" s="269"/>
      <c r="F36" s="269"/>
      <c r="G36" s="269"/>
      <c r="H36" s="882"/>
      <c r="I36" s="882"/>
      <c r="J36" s="882"/>
      <c r="K36" s="882"/>
      <c r="L36" s="882"/>
      <c r="M36" s="274">
        <f t="shared" si="20"/>
        <v>0</v>
      </c>
      <c r="N36" s="269"/>
      <c r="O36" s="269"/>
      <c r="P36" s="269"/>
      <c r="Q36" s="269"/>
      <c r="R36" s="294">
        <f t="shared" si="21"/>
        <v>0</v>
      </c>
    </row>
    <row r="37" spans="1:18" s="67" customFormat="1" ht="48" outlineLevel="2" x14ac:dyDescent="0.2">
      <c r="A37" s="876" t="s">
        <v>1316</v>
      </c>
      <c r="B37" s="882"/>
      <c r="C37" s="270"/>
      <c r="D37" s="270"/>
      <c r="E37" s="270"/>
      <c r="F37" s="270"/>
      <c r="G37" s="270"/>
      <c r="H37" s="881">
        <v>9420</v>
      </c>
      <c r="I37" s="882"/>
      <c r="J37" s="882"/>
      <c r="K37" s="881">
        <v>2000</v>
      </c>
      <c r="L37" s="882"/>
      <c r="M37" s="274">
        <f t="shared" si="20"/>
        <v>11420</v>
      </c>
      <c r="N37" s="881">
        <v>2250</v>
      </c>
      <c r="O37" s="882"/>
      <c r="P37" s="882"/>
      <c r="Q37" s="882"/>
      <c r="R37" s="889">
        <v>2250</v>
      </c>
    </row>
    <row r="38" spans="1:18" s="67" customFormat="1" ht="16" outlineLevel="2" x14ac:dyDescent="0.2">
      <c r="A38" s="876" t="s">
        <v>651</v>
      </c>
      <c r="B38" s="882"/>
      <c r="C38" s="881">
        <v>300</v>
      </c>
      <c r="D38" s="882"/>
      <c r="E38" s="270"/>
      <c r="F38" s="270"/>
      <c r="G38" s="270"/>
      <c r="H38" s="882"/>
      <c r="I38" s="882"/>
      <c r="J38" s="882"/>
      <c r="K38" s="882"/>
      <c r="L38" s="882"/>
      <c r="M38" s="274">
        <f t="shared" si="20"/>
        <v>300</v>
      </c>
      <c r="N38" s="270"/>
      <c r="O38" s="270"/>
      <c r="P38" s="270"/>
      <c r="Q38" s="270"/>
      <c r="R38" s="296"/>
    </row>
    <row r="39" spans="1:18" s="67" customFormat="1" ht="16" outlineLevel="2" x14ac:dyDescent="0.2">
      <c r="A39" s="876" t="s">
        <v>652</v>
      </c>
      <c r="B39" s="881">
        <v>440</v>
      </c>
      <c r="C39" s="882"/>
      <c r="D39" s="882"/>
      <c r="E39" s="270"/>
      <c r="F39" s="270"/>
      <c r="G39" s="270"/>
      <c r="H39" s="882"/>
      <c r="I39" s="882"/>
      <c r="J39" s="882"/>
      <c r="K39" s="882"/>
      <c r="L39" s="882"/>
      <c r="M39" s="274">
        <f t="shared" si="20"/>
        <v>440</v>
      </c>
      <c r="N39" s="270"/>
      <c r="O39" s="270"/>
      <c r="P39" s="270"/>
      <c r="Q39" s="270"/>
      <c r="R39" s="296"/>
    </row>
    <row r="40" spans="1:18" s="67" customFormat="1" ht="16" outlineLevel="2" x14ac:dyDescent="0.2">
      <c r="A40" s="876" t="s">
        <v>653</v>
      </c>
      <c r="B40" s="882"/>
      <c r="C40" s="882"/>
      <c r="D40" s="882"/>
      <c r="E40" s="270"/>
      <c r="F40" s="270"/>
      <c r="G40" s="270"/>
      <c r="H40" s="882"/>
      <c r="I40" s="882"/>
      <c r="J40" s="882"/>
      <c r="K40" s="881">
        <v>1500</v>
      </c>
      <c r="L40" s="882"/>
      <c r="M40" s="274">
        <f t="shared" si="20"/>
        <v>1500</v>
      </c>
      <c r="N40" s="270"/>
      <c r="O40" s="270"/>
      <c r="P40" s="270"/>
      <c r="Q40" s="270"/>
      <c r="R40" s="296"/>
    </row>
    <row r="41" spans="1:18" s="67" customFormat="1" ht="32" outlineLevel="2" x14ac:dyDescent="0.2">
      <c r="A41" s="876" t="s">
        <v>654</v>
      </c>
      <c r="B41" s="882"/>
      <c r="C41" s="882"/>
      <c r="D41" s="881">
        <v>700</v>
      </c>
      <c r="E41" s="270"/>
      <c r="F41" s="270"/>
      <c r="G41" s="270"/>
      <c r="H41" s="881">
        <v>800</v>
      </c>
      <c r="I41" s="882"/>
      <c r="J41" s="882"/>
      <c r="K41" s="881">
        <v>300</v>
      </c>
      <c r="L41" s="882"/>
      <c r="M41" s="274">
        <f t="shared" si="20"/>
        <v>1800</v>
      </c>
      <c r="N41" s="270"/>
      <c r="O41" s="270"/>
      <c r="P41" s="270"/>
      <c r="Q41" s="270"/>
      <c r="R41" s="296"/>
    </row>
    <row r="42" spans="1:18" s="67" customFormat="1" ht="16" outlineLevel="2" x14ac:dyDescent="0.2">
      <c r="A42" s="876" t="s">
        <v>655</v>
      </c>
      <c r="B42" s="882"/>
      <c r="C42" s="882"/>
      <c r="D42" s="881">
        <v>500</v>
      </c>
      <c r="E42" s="270"/>
      <c r="F42" s="270"/>
      <c r="G42" s="270"/>
      <c r="H42" s="881">
        <v>700</v>
      </c>
      <c r="I42" s="882"/>
      <c r="J42" s="882"/>
      <c r="K42" s="881">
        <v>300</v>
      </c>
      <c r="L42" s="882"/>
      <c r="M42" s="274">
        <f t="shared" si="20"/>
        <v>1500</v>
      </c>
      <c r="N42" s="270"/>
      <c r="O42" s="270"/>
      <c r="P42" s="270"/>
      <c r="Q42" s="270"/>
      <c r="R42" s="296"/>
    </row>
    <row r="43" spans="1:18" s="67" customFormat="1" ht="16" outlineLevel="2" x14ac:dyDescent="0.2">
      <c r="A43" s="876" t="s">
        <v>656</v>
      </c>
      <c r="B43" s="882"/>
      <c r="C43" s="882"/>
      <c r="D43" s="881">
        <v>500</v>
      </c>
      <c r="E43" s="270"/>
      <c r="F43" s="270"/>
      <c r="G43" s="270"/>
      <c r="H43" s="881">
        <v>500</v>
      </c>
      <c r="I43" s="882"/>
      <c r="J43" s="882"/>
      <c r="K43" s="882"/>
      <c r="L43" s="882"/>
      <c r="M43" s="274">
        <f t="shared" si="20"/>
        <v>1000</v>
      </c>
      <c r="N43" s="263"/>
      <c r="O43" s="263"/>
      <c r="P43" s="263"/>
      <c r="Q43" s="263"/>
      <c r="R43" s="296"/>
    </row>
    <row r="44" spans="1:18" s="67" customFormat="1" outlineLevel="2" x14ac:dyDescent="0.2">
      <c r="A44" s="876"/>
      <c r="B44" s="882"/>
      <c r="C44" s="882"/>
      <c r="D44" s="882"/>
      <c r="E44" s="270"/>
      <c r="F44" s="270"/>
      <c r="G44" s="270"/>
      <c r="H44" s="882"/>
      <c r="I44" s="882"/>
      <c r="J44" s="882"/>
      <c r="K44" s="882"/>
      <c r="L44" s="882"/>
      <c r="M44" s="274">
        <f t="shared" si="20"/>
        <v>0</v>
      </c>
      <c r="N44" s="263"/>
      <c r="O44" s="263"/>
      <c r="P44" s="263"/>
      <c r="Q44" s="263"/>
      <c r="R44" s="296"/>
    </row>
    <row r="45" spans="1:18" s="67" customFormat="1" ht="48" outlineLevel="2" x14ac:dyDescent="0.2">
      <c r="A45" s="877" t="s">
        <v>1317</v>
      </c>
      <c r="B45" s="883"/>
      <c r="C45" s="884"/>
      <c r="D45" s="884"/>
      <c r="E45" s="270"/>
      <c r="F45" s="270"/>
      <c r="G45" s="270"/>
      <c r="H45" s="884"/>
      <c r="I45" s="884"/>
      <c r="J45" s="884"/>
      <c r="K45" s="884"/>
      <c r="L45" s="885"/>
      <c r="M45" s="274">
        <f t="shared" si="20"/>
        <v>0</v>
      </c>
      <c r="N45" s="263"/>
      <c r="O45" s="263"/>
      <c r="P45" s="263"/>
      <c r="Q45" s="263"/>
      <c r="R45" s="296"/>
    </row>
    <row r="46" spans="1:18" s="67" customFormat="1" outlineLevel="2" x14ac:dyDescent="0.2">
      <c r="A46" s="877"/>
      <c r="B46" s="883"/>
      <c r="C46" s="884"/>
      <c r="D46" s="884"/>
      <c r="E46" s="270"/>
      <c r="F46" s="270"/>
      <c r="G46" s="270"/>
      <c r="H46" s="884"/>
      <c r="I46" s="884"/>
      <c r="J46" s="884"/>
      <c r="K46" s="884"/>
      <c r="L46" s="884"/>
      <c r="M46" s="274">
        <f t="shared" si="20"/>
        <v>0</v>
      </c>
      <c r="N46" s="263"/>
      <c r="O46" s="263"/>
      <c r="P46" s="263"/>
      <c r="Q46" s="263"/>
      <c r="R46" s="296"/>
    </row>
    <row r="47" spans="1:18" s="67" customFormat="1" ht="32" outlineLevel="2" x14ac:dyDescent="0.2">
      <c r="A47" s="877" t="s">
        <v>1318</v>
      </c>
      <c r="B47" s="883"/>
      <c r="C47" s="884"/>
      <c r="D47" s="884"/>
      <c r="E47" s="270"/>
      <c r="F47" s="270"/>
      <c r="G47" s="270"/>
      <c r="H47" s="884"/>
      <c r="I47" s="884"/>
      <c r="J47" s="884"/>
      <c r="K47" s="885">
        <v>3000</v>
      </c>
      <c r="L47" s="884"/>
      <c r="M47" s="274">
        <f t="shared" si="20"/>
        <v>3000</v>
      </c>
      <c r="N47" s="263"/>
      <c r="O47" s="263"/>
      <c r="P47" s="263"/>
      <c r="Q47" s="263"/>
      <c r="R47" s="296"/>
    </row>
    <row r="48" spans="1:18" s="67" customFormat="1" ht="16" outlineLevel="2" x14ac:dyDescent="0.2">
      <c r="A48" s="877" t="s">
        <v>1319</v>
      </c>
      <c r="B48" s="883"/>
      <c r="C48" s="884"/>
      <c r="D48" s="886">
        <v>500</v>
      </c>
      <c r="E48" s="263"/>
      <c r="F48" s="263"/>
      <c r="G48" s="263"/>
      <c r="H48" s="884"/>
      <c r="I48" s="884"/>
      <c r="J48" s="884"/>
      <c r="K48" s="885">
        <v>150</v>
      </c>
      <c r="L48" s="884"/>
      <c r="M48" s="274">
        <f t="shared" si="20"/>
        <v>650</v>
      </c>
      <c r="N48" s="263"/>
      <c r="O48" s="263"/>
      <c r="P48" s="263"/>
      <c r="Q48" s="263"/>
      <c r="R48" s="296"/>
    </row>
    <row r="49" spans="1:18" s="67" customFormat="1" outlineLevel="2" x14ac:dyDescent="0.2">
      <c r="A49" s="877"/>
      <c r="B49" s="883"/>
      <c r="C49" s="884"/>
      <c r="D49" s="885"/>
      <c r="E49" s="878"/>
      <c r="F49" s="878"/>
      <c r="G49" s="878"/>
      <c r="H49" s="884"/>
      <c r="I49" s="884"/>
      <c r="J49" s="884"/>
      <c r="K49" s="885"/>
      <c r="L49" s="884"/>
      <c r="M49" s="273">
        <f>SUM(B49:K49)</f>
        <v>0</v>
      </c>
      <c r="N49" s="878"/>
      <c r="O49" s="878"/>
      <c r="P49" s="878"/>
      <c r="Q49" s="878"/>
      <c r="R49" s="871"/>
    </row>
    <row r="50" spans="1:18" s="67" customFormat="1" ht="17" outlineLevel="2" thickBot="1" x14ac:dyDescent="0.25">
      <c r="A50" s="877" t="s">
        <v>614</v>
      </c>
      <c r="B50" s="263">
        <v>500</v>
      </c>
      <c r="C50" s="263">
        <v>1000</v>
      </c>
      <c r="D50" s="263"/>
      <c r="E50" s="263"/>
      <c r="F50" s="263"/>
      <c r="G50" s="263">
        <v>1500</v>
      </c>
      <c r="H50" s="263"/>
      <c r="I50" s="263"/>
      <c r="J50" s="263">
        <v>1500</v>
      </c>
      <c r="K50" s="263">
        <v>1000</v>
      </c>
      <c r="L50" s="263"/>
      <c r="M50" s="273">
        <f t="shared" si="20"/>
        <v>5500</v>
      </c>
      <c r="N50" s="263"/>
      <c r="O50" s="263"/>
      <c r="P50" s="263"/>
      <c r="Q50" s="263"/>
      <c r="R50" s="296">
        <f t="shared" si="21"/>
        <v>0</v>
      </c>
    </row>
    <row r="51" spans="1:18" ht="16" outlineLevel="1" thickBot="1" x14ac:dyDescent="0.25">
      <c r="A51" s="38"/>
      <c r="B51" s="40">
        <f t="shared" ref="B51:K51" si="22">SUBTOTAL(9,B26:B50)</f>
        <v>8390</v>
      </c>
      <c r="C51" s="40">
        <f t="shared" si="22"/>
        <v>4170</v>
      </c>
      <c r="D51" s="40">
        <f t="shared" si="22"/>
        <v>5200</v>
      </c>
      <c r="E51" s="40">
        <f t="shared" si="22"/>
        <v>500</v>
      </c>
      <c r="F51" s="40">
        <f t="shared" si="22"/>
        <v>1848</v>
      </c>
      <c r="G51" s="40">
        <f t="shared" si="22"/>
        <v>1500</v>
      </c>
      <c r="H51" s="40">
        <f t="shared" si="22"/>
        <v>13691</v>
      </c>
      <c r="I51" s="40">
        <f t="shared" si="22"/>
        <v>356</v>
      </c>
      <c r="J51" s="40">
        <f t="shared" si="22"/>
        <v>1500</v>
      </c>
      <c r="K51" s="40">
        <f t="shared" si="22"/>
        <v>10990</v>
      </c>
      <c r="L51" s="40">
        <f>SUBTOTAL(9,L26:L50)</f>
        <v>0</v>
      </c>
      <c r="M51" s="40">
        <f>SUM(B51:L51)</f>
        <v>48145</v>
      </c>
      <c r="N51" s="41">
        <f>SUBTOTAL(9,N26:N50)</f>
        <v>2500</v>
      </c>
      <c r="O51" s="41">
        <f>SUBTOTAL(9,O26:O50)</f>
        <v>0</v>
      </c>
      <c r="P51" s="41">
        <f>SUBTOTAL(9,P26:P50)</f>
        <v>0</v>
      </c>
      <c r="Q51" s="41">
        <f>SUBTOTAL(9,Q26:Q50)</f>
        <v>9176.25</v>
      </c>
      <c r="R51" s="42">
        <f>SUBTOTAL(9,R26:R50)</f>
        <v>11676.25</v>
      </c>
    </row>
    <row r="52" spans="1:18" outlineLevel="1" x14ac:dyDescent="0.2">
      <c r="A52" s="26"/>
      <c r="B52" s="43"/>
      <c r="C52" s="43"/>
      <c r="D52" s="43"/>
      <c r="E52" s="43"/>
      <c r="F52" s="43"/>
      <c r="G52" s="43"/>
      <c r="H52" s="43"/>
      <c r="I52" s="43"/>
      <c r="J52" s="43"/>
      <c r="K52" s="43"/>
      <c r="L52" s="43"/>
      <c r="M52" s="43"/>
      <c r="N52" s="43"/>
      <c r="O52" s="43"/>
      <c r="P52" s="43"/>
      <c r="Q52" s="43"/>
      <c r="R52" s="44"/>
    </row>
    <row r="53" spans="1:18" ht="17" outlineLevel="1" thickBot="1" x14ac:dyDescent="0.25">
      <c r="A53" s="31" t="s">
        <v>657</v>
      </c>
      <c r="B53" s="35"/>
      <c r="C53" s="35"/>
      <c r="D53" s="35"/>
      <c r="E53" s="35"/>
      <c r="F53" s="35"/>
      <c r="G53" s="35"/>
      <c r="H53" s="35"/>
      <c r="I53" s="35"/>
      <c r="J53" s="35"/>
      <c r="K53" s="35"/>
      <c r="L53" s="35"/>
      <c r="M53" s="35"/>
      <c r="N53" s="36"/>
      <c r="O53" s="36"/>
      <c r="P53" s="36"/>
      <c r="Q53" s="36"/>
      <c r="R53" s="37"/>
    </row>
    <row r="54" spans="1:18" s="67" customFormat="1" ht="48" outlineLevel="2" x14ac:dyDescent="0.2">
      <c r="A54" s="893" t="s">
        <v>1324</v>
      </c>
      <c r="B54" s="290"/>
      <c r="C54" s="290">
        <v>2000</v>
      </c>
      <c r="D54" s="290">
        <v>300</v>
      </c>
      <c r="E54" s="290">
        <v>400</v>
      </c>
      <c r="F54" s="290"/>
      <c r="G54" s="290">
        <v>50</v>
      </c>
      <c r="H54" s="290">
        <v>200</v>
      </c>
      <c r="I54" s="290">
        <v>200</v>
      </c>
      <c r="J54" s="290"/>
      <c r="K54" s="290"/>
      <c r="L54" s="290">
        <v>1500</v>
      </c>
      <c r="M54" s="290">
        <f>SUM(B54:L54)</f>
        <v>4650</v>
      </c>
      <c r="N54" s="290"/>
      <c r="O54" s="290"/>
      <c r="P54" s="290"/>
      <c r="Q54" s="290"/>
      <c r="R54" s="292">
        <f>SUM(N54:Q54)</f>
        <v>0</v>
      </c>
    </row>
    <row r="55" spans="1:18" s="67" customFormat="1" outlineLevel="2" x14ac:dyDescent="0.2">
      <c r="A55" s="893"/>
      <c r="B55" s="274"/>
      <c r="C55" s="274"/>
      <c r="D55" s="274"/>
      <c r="E55" s="274"/>
      <c r="F55" s="274"/>
      <c r="G55" s="274"/>
      <c r="H55" s="274"/>
      <c r="I55" s="274"/>
      <c r="J55" s="274"/>
      <c r="K55" s="274"/>
      <c r="L55" s="274">
        <v>500</v>
      </c>
      <c r="M55" s="274">
        <f>SUM(B55:L55)</f>
        <v>500</v>
      </c>
      <c r="N55" s="274"/>
      <c r="O55" s="274"/>
      <c r="P55" s="274"/>
      <c r="Q55" s="274"/>
      <c r="R55" s="294">
        <f t="shared" ref="R55:R58" si="23">SUM(N55:Q55)</f>
        <v>0</v>
      </c>
    </row>
    <row r="56" spans="1:18" s="67" customFormat="1" outlineLevel="2" x14ac:dyDescent="0.2">
      <c r="A56" s="293"/>
      <c r="B56" s="274"/>
      <c r="C56" s="274"/>
      <c r="D56" s="274"/>
      <c r="E56" s="274"/>
      <c r="F56" s="274"/>
      <c r="G56" s="274"/>
      <c r="H56" s="274"/>
      <c r="I56" s="274"/>
      <c r="J56" s="274"/>
      <c r="K56" s="274"/>
      <c r="L56" s="274"/>
      <c r="M56" s="274">
        <f t="shared" ref="M56:M58" si="24">SUM(B56:L56)</f>
        <v>0</v>
      </c>
      <c r="N56" s="274"/>
      <c r="O56" s="274"/>
      <c r="P56" s="274"/>
      <c r="Q56" s="274"/>
      <c r="R56" s="294">
        <f t="shared" si="23"/>
        <v>0</v>
      </c>
    </row>
    <row r="57" spans="1:18" s="67" customFormat="1" outlineLevel="2" x14ac:dyDescent="0.2">
      <c r="A57" s="295"/>
      <c r="B57" s="263"/>
      <c r="C57" s="263"/>
      <c r="D57" s="263"/>
      <c r="E57" s="263"/>
      <c r="F57" s="263"/>
      <c r="G57" s="263"/>
      <c r="H57" s="263"/>
      <c r="I57" s="263"/>
      <c r="J57" s="263"/>
      <c r="K57" s="263"/>
      <c r="L57" s="263"/>
      <c r="M57" s="274">
        <f t="shared" si="24"/>
        <v>0</v>
      </c>
      <c r="N57" s="263"/>
      <c r="O57" s="263"/>
      <c r="P57" s="263"/>
      <c r="Q57" s="263"/>
      <c r="R57" s="296">
        <f t="shared" si="23"/>
        <v>0</v>
      </c>
    </row>
    <row r="58" spans="1:18" s="67" customFormat="1" ht="17" outlineLevel="2" thickBot="1" x14ac:dyDescent="0.25">
      <c r="A58" s="295" t="s">
        <v>614</v>
      </c>
      <c r="B58" s="263"/>
      <c r="C58" s="263"/>
      <c r="D58" s="263">
        <v>200</v>
      </c>
      <c r="E58" s="263"/>
      <c r="F58" s="263">
        <v>100</v>
      </c>
      <c r="G58" s="263">
        <v>100</v>
      </c>
      <c r="H58" s="263">
        <v>100</v>
      </c>
      <c r="I58" s="263">
        <v>100</v>
      </c>
      <c r="J58" s="263"/>
      <c r="K58" s="263">
        <v>200</v>
      </c>
      <c r="L58" s="263">
        <v>200</v>
      </c>
      <c r="M58" s="274">
        <f t="shared" si="24"/>
        <v>1000</v>
      </c>
      <c r="N58" s="263"/>
      <c r="O58" s="263"/>
      <c r="P58" s="263"/>
      <c r="Q58" s="263"/>
      <c r="R58" s="296">
        <f t="shared" si="23"/>
        <v>0</v>
      </c>
    </row>
    <row r="59" spans="1:18" ht="16" outlineLevel="1" thickBot="1" x14ac:dyDescent="0.25">
      <c r="A59" s="38"/>
      <c r="B59" s="39"/>
      <c r="C59" s="40"/>
      <c r="D59" s="40"/>
      <c r="E59" s="40"/>
      <c r="F59" s="40"/>
      <c r="G59" s="40"/>
      <c r="H59" s="40"/>
      <c r="I59" s="40"/>
      <c r="J59" s="40"/>
      <c r="K59" s="40"/>
      <c r="L59" s="40">
        <f t="shared" ref="L59" si="25">SUBTOTAL(9,L54:L58)</f>
        <v>2200</v>
      </c>
      <c r="M59" s="40">
        <f>SUM(B59:L59)</f>
        <v>2200</v>
      </c>
      <c r="N59" s="41">
        <f t="shared" ref="N59" si="26">SUBTOTAL(9,N54:N58)</f>
        <v>0</v>
      </c>
      <c r="O59" s="41">
        <f t="shared" ref="O59" si="27">SUBTOTAL(9,O54:O58)</f>
        <v>0</v>
      </c>
      <c r="P59" s="41">
        <f t="shared" ref="P59" si="28">SUBTOTAL(9,P54:P58)</f>
        <v>0</v>
      </c>
      <c r="Q59" s="41">
        <f t="shared" ref="Q59" si="29">SUBTOTAL(9,Q54:Q58)</f>
        <v>0</v>
      </c>
      <c r="R59" s="42">
        <f t="shared" ref="R59" si="30">SUBTOTAL(9,R54:R58)</f>
        <v>0</v>
      </c>
    </row>
    <row r="60" spans="1:18" outlineLevel="1" x14ac:dyDescent="0.2">
      <c r="A60" s="26"/>
      <c r="B60" s="43"/>
      <c r="C60" s="43"/>
      <c r="D60" s="43"/>
      <c r="E60" s="43"/>
      <c r="F60" s="43"/>
      <c r="G60" s="43"/>
      <c r="H60" s="43"/>
      <c r="I60" s="43"/>
      <c r="J60" s="43"/>
      <c r="K60" s="43"/>
      <c r="L60" s="43"/>
      <c r="M60" s="43"/>
      <c r="N60" s="43"/>
      <c r="O60" s="43"/>
      <c r="P60" s="43"/>
      <c r="Q60" s="43"/>
      <c r="R60" s="44"/>
    </row>
    <row r="61" spans="1:18" ht="17" outlineLevel="1" thickBot="1" x14ac:dyDescent="0.25">
      <c r="A61" s="31" t="s">
        <v>1325</v>
      </c>
      <c r="B61" s="35"/>
      <c r="C61" s="35"/>
      <c r="D61" s="35"/>
      <c r="E61" s="35"/>
      <c r="F61" s="35"/>
      <c r="G61" s="35"/>
      <c r="H61" s="35"/>
      <c r="I61" s="35"/>
      <c r="J61" s="35"/>
      <c r="K61" s="35"/>
      <c r="L61" s="35"/>
      <c r="M61" s="35"/>
      <c r="N61" s="36"/>
      <c r="O61" s="36"/>
      <c r="P61" s="36"/>
      <c r="Q61" s="36"/>
      <c r="R61" s="37"/>
    </row>
    <row r="62" spans="1:18" s="67" customFormat="1" outlineLevel="2" x14ac:dyDescent="0.2">
      <c r="A62" s="289"/>
      <c r="B62" s="290"/>
      <c r="C62" s="290"/>
      <c r="D62" s="290"/>
      <c r="E62" s="290"/>
      <c r="F62" s="290"/>
      <c r="G62" s="290"/>
      <c r="H62" s="290"/>
      <c r="I62" s="290"/>
      <c r="J62" s="290"/>
      <c r="K62" s="290"/>
      <c r="L62" s="290"/>
      <c r="M62" s="290">
        <f>SUM(B62:L62)</f>
        <v>0</v>
      </c>
      <c r="N62" s="290"/>
      <c r="O62" s="290"/>
      <c r="P62" s="290"/>
      <c r="Q62" s="290"/>
      <c r="R62" s="292">
        <f>SUM(N62:Q62)</f>
        <v>0</v>
      </c>
    </row>
    <row r="63" spans="1:18" s="67" customFormat="1" ht="17" outlineLevel="2" thickBot="1" x14ac:dyDescent="0.25">
      <c r="A63" s="295" t="s">
        <v>642</v>
      </c>
      <c r="B63" s="263"/>
      <c r="C63" s="263">
        <v>1200</v>
      </c>
      <c r="D63" s="263">
        <v>200</v>
      </c>
      <c r="E63" s="263"/>
      <c r="F63" s="263"/>
      <c r="G63" s="263"/>
      <c r="H63" s="263">
        <v>100</v>
      </c>
      <c r="I63" s="263"/>
      <c r="J63" s="263"/>
      <c r="K63" s="263">
        <v>500</v>
      </c>
      <c r="L63" s="263"/>
      <c r="M63" s="274">
        <f t="shared" ref="M63" si="31">SUM(B63:L63)</f>
        <v>2000</v>
      </c>
      <c r="N63" s="263"/>
      <c r="O63" s="263"/>
      <c r="P63" s="263"/>
      <c r="Q63" s="263"/>
      <c r="R63" s="296">
        <f t="shared" ref="R63" si="32">SUM(N63:Q63)</f>
        <v>0</v>
      </c>
    </row>
    <row r="64" spans="1:18" ht="17" outlineLevel="1" thickBot="1" x14ac:dyDescent="0.25">
      <c r="A64" s="38" t="s">
        <v>643</v>
      </c>
      <c r="B64" s="39">
        <f t="shared" ref="B64:L64" si="33">SUBTOTAL(9,B62:B63)</f>
        <v>0</v>
      </c>
      <c r="C64" s="40">
        <f t="shared" si="33"/>
        <v>1200</v>
      </c>
      <c r="D64" s="40">
        <f t="shared" si="33"/>
        <v>200</v>
      </c>
      <c r="E64" s="40">
        <f t="shared" si="33"/>
        <v>0</v>
      </c>
      <c r="F64" s="40">
        <f t="shared" si="33"/>
        <v>0</v>
      </c>
      <c r="G64" s="40">
        <f t="shared" si="33"/>
        <v>0</v>
      </c>
      <c r="H64" s="40">
        <f t="shared" si="33"/>
        <v>100</v>
      </c>
      <c r="I64" s="40">
        <f t="shared" si="33"/>
        <v>0</v>
      </c>
      <c r="J64" s="40">
        <f t="shared" si="33"/>
        <v>0</v>
      </c>
      <c r="K64" s="40">
        <f t="shared" si="33"/>
        <v>500</v>
      </c>
      <c r="L64" s="40">
        <f t="shared" si="33"/>
        <v>0</v>
      </c>
      <c r="M64" s="40">
        <f>SUM(B64:L64)</f>
        <v>2000</v>
      </c>
      <c r="N64" s="41">
        <f>SUBTOTAL(9,N62:N63)</f>
        <v>0</v>
      </c>
      <c r="O64" s="41">
        <f>SUBTOTAL(9,O62:O63)</f>
        <v>0</v>
      </c>
      <c r="P64" s="41">
        <f>SUBTOTAL(9,P62:P63)</f>
        <v>0</v>
      </c>
      <c r="Q64" s="41">
        <f>SUBTOTAL(9,Q62:Q63)</f>
        <v>0</v>
      </c>
      <c r="R64" s="42">
        <f>SUBTOTAL(9,R62:R63)</f>
        <v>0</v>
      </c>
    </row>
    <row r="65" spans="1:18" outlineLevel="1" x14ac:dyDescent="0.2">
      <c r="A65" s="26"/>
      <c r="B65" s="43"/>
      <c r="C65" s="43"/>
      <c r="D65" s="43"/>
      <c r="E65" s="43"/>
      <c r="F65" s="43"/>
      <c r="G65" s="43"/>
      <c r="H65" s="43"/>
      <c r="I65" s="43"/>
      <c r="J65" s="43"/>
      <c r="K65" s="43"/>
      <c r="L65" s="43"/>
      <c r="M65" s="43"/>
      <c r="N65" s="43"/>
      <c r="O65" s="43"/>
      <c r="P65" s="43"/>
      <c r="Q65" s="43"/>
      <c r="R65" s="44"/>
    </row>
    <row r="66" spans="1:18" ht="17" outlineLevel="1" thickBot="1" x14ac:dyDescent="0.25">
      <c r="A66" s="31" t="s">
        <v>658</v>
      </c>
      <c r="B66" s="35"/>
      <c r="C66" s="35"/>
      <c r="D66" s="35"/>
      <c r="E66" s="35"/>
      <c r="F66" s="35"/>
      <c r="G66" s="35"/>
      <c r="H66" s="35"/>
      <c r="I66" s="35"/>
      <c r="J66" s="35"/>
      <c r="K66" s="35"/>
      <c r="L66" s="35"/>
      <c r="M66" s="35"/>
      <c r="N66" s="36"/>
      <c r="O66" s="36"/>
      <c r="P66" s="36"/>
      <c r="Q66" s="36"/>
      <c r="R66" s="37"/>
    </row>
    <row r="67" spans="1:18" s="67" customFormat="1" outlineLevel="2" x14ac:dyDescent="0.2">
      <c r="A67" s="289"/>
      <c r="B67" s="290"/>
      <c r="C67" s="290"/>
      <c r="D67" s="290"/>
      <c r="E67" s="290"/>
      <c r="F67" s="290"/>
      <c r="G67" s="290"/>
      <c r="H67" s="290"/>
      <c r="I67" s="290"/>
      <c r="J67" s="290"/>
      <c r="K67" s="290"/>
      <c r="L67" s="290"/>
      <c r="M67" s="290">
        <f t="shared" ref="M67:M69" si="34">SUM(B67:K67)</f>
        <v>0</v>
      </c>
      <c r="N67" s="290"/>
      <c r="O67" s="290"/>
      <c r="P67" s="290"/>
      <c r="Q67" s="290"/>
      <c r="R67" s="292">
        <f>SUM(N67:Q67)</f>
        <v>0</v>
      </c>
    </row>
    <row r="68" spans="1:18" s="67" customFormat="1" ht="17" outlineLevel="2" thickBot="1" x14ac:dyDescent="0.25">
      <c r="A68" s="295" t="s">
        <v>642</v>
      </c>
      <c r="B68" s="263"/>
      <c r="C68" s="263"/>
      <c r="D68" s="263"/>
      <c r="E68" s="263"/>
      <c r="F68" s="263"/>
      <c r="G68" s="263"/>
      <c r="H68" s="263"/>
      <c r="I68" s="263"/>
      <c r="J68" s="263"/>
      <c r="K68" s="263"/>
      <c r="L68" s="263"/>
      <c r="M68" s="263">
        <f t="shared" si="34"/>
        <v>0</v>
      </c>
      <c r="N68" s="263"/>
      <c r="O68" s="263"/>
      <c r="P68" s="263"/>
      <c r="Q68" s="263"/>
      <c r="R68" s="296">
        <f t="shared" ref="R68" si="35">SUM(N68:Q68)</f>
        <v>0</v>
      </c>
    </row>
    <row r="69" spans="1:18" ht="17" outlineLevel="1" thickBot="1" x14ac:dyDescent="0.25">
      <c r="A69" s="38" t="s">
        <v>643</v>
      </c>
      <c r="B69" s="39">
        <f t="shared" ref="B69:L69" si="36">SUBTOTAL(9,B67:B68)</f>
        <v>0</v>
      </c>
      <c r="C69" s="40">
        <f t="shared" si="36"/>
        <v>0</v>
      </c>
      <c r="D69" s="40">
        <f t="shared" si="36"/>
        <v>0</v>
      </c>
      <c r="E69" s="40">
        <f t="shared" si="36"/>
        <v>0</v>
      </c>
      <c r="F69" s="40">
        <f t="shared" si="36"/>
        <v>0</v>
      </c>
      <c r="G69" s="40">
        <f t="shared" si="36"/>
        <v>0</v>
      </c>
      <c r="H69" s="40">
        <f t="shared" si="36"/>
        <v>0</v>
      </c>
      <c r="I69" s="40">
        <f t="shared" si="36"/>
        <v>0</v>
      </c>
      <c r="J69" s="40">
        <f t="shared" si="36"/>
        <v>0</v>
      </c>
      <c r="K69" s="40">
        <f t="shared" si="36"/>
        <v>0</v>
      </c>
      <c r="L69" s="40">
        <f t="shared" si="36"/>
        <v>0</v>
      </c>
      <c r="M69" s="40">
        <f t="shared" si="34"/>
        <v>0</v>
      </c>
      <c r="N69" s="41">
        <f>SUBTOTAL(9,N67:N68)</f>
        <v>0</v>
      </c>
      <c r="O69" s="41">
        <f>SUBTOTAL(9,O67:O68)</f>
        <v>0</v>
      </c>
      <c r="P69" s="41">
        <f>SUBTOTAL(9,P67:P68)</f>
        <v>0</v>
      </c>
      <c r="Q69" s="41">
        <f>SUBTOTAL(9,Q67:Q68)</f>
        <v>0</v>
      </c>
      <c r="R69" s="42">
        <f>SUBTOTAL(9,R67:R68)</f>
        <v>0</v>
      </c>
    </row>
    <row r="70" spans="1:18" outlineLevel="1" x14ac:dyDescent="0.2">
      <c r="A70" s="26"/>
      <c r="B70" s="43"/>
      <c r="C70" s="43"/>
      <c r="D70" s="43"/>
      <c r="E70" s="43"/>
      <c r="F70" s="43"/>
      <c r="G70" s="43"/>
      <c r="H70" s="43"/>
      <c r="I70" s="43"/>
      <c r="J70" s="43"/>
      <c r="K70" s="43"/>
      <c r="L70" s="43"/>
      <c r="M70" s="43"/>
      <c r="N70" s="43"/>
      <c r="O70" s="43"/>
      <c r="P70" s="43"/>
      <c r="Q70" s="43"/>
      <c r="R70" s="44"/>
    </row>
    <row r="71" spans="1:18" ht="16" outlineLevel="1" x14ac:dyDescent="0.2">
      <c r="A71" s="31" t="s">
        <v>659</v>
      </c>
      <c r="B71" s="35"/>
      <c r="C71" s="35"/>
      <c r="D71" s="35"/>
      <c r="E71" s="35"/>
      <c r="F71" s="35"/>
      <c r="G71" s="35"/>
      <c r="H71" s="35"/>
      <c r="I71" s="35"/>
      <c r="J71" s="35"/>
      <c r="K71" s="35"/>
      <c r="L71" s="35"/>
      <c r="M71" s="35"/>
      <c r="N71" s="36"/>
      <c r="O71" s="36"/>
      <c r="P71" s="36"/>
      <c r="Q71" s="36"/>
      <c r="R71" s="37"/>
    </row>
    <row r="72" spans="1:18" s="67" customFormat="1" outlineLevel="2" x14ac:dyDescent="0.2">
      <c r="A72" s="293"/>
      <c r="B72" s="274"/>
      <c r="C72" s="274"/>
      <c r="D72" s="274"/>
      <c r="E72" s="274"/>
      <c r="F72" s="274"/>
      <c r="G72" s="274"/>
      <c r="H72" s="274"/>
      <c r="I72" s="274"/>
      <c r="J72" s="274"/>
      <c r="K72" s="274"/>
      <c r="L72" s="274"/>
      <c r="M72" s="274">
        <f>SUM(B72:L72)</f>
        <v>0</v>
      </c>
      <c r="N72" s="274"/>
      <c r="O72" s="274"/>
      <c r="P72" s="274"/>
      <c r="Q72" s="274"/>
      <c r="R72" s="294">
        <f t="shared" ref="R72:R73" si="37">SUM(N72:Q72)</f>
        <v>0</v>
      </c>
    </row>
    <row r="73" spans="1:18" s="67" customFormat="1" ht="17" outlineLevel="2" thickBot="1" x14ac:dyDescent="0.25">
      <c r="A73" s="295" t="s">
        <v>642</v>
      </c>
      <c r="B73" s="263"/>
      <c r="C73" s="263">
        <v>2000</v>
      </c>
      <c r="D73" s="263">
        <v>200</v>
      </c>
      <c r="E73" s="263">
        <v>400</v>
      </c>
      <c r="F73" s="263">
        <v>100</v>
      </c>
      <c r="G73" s="263">
        <v>100</v>
      </c>
      <c r="H73" s="263">
        <v>100</v>
      </c>
      <c r="I73" s="263">
        <v>300</v>
      </c>
      <c r="J73" s="263">
        <v>500</v>
      </c>
      <c r="K73" s="263">
        <v>200</v>
      </c>
      <c r="L73" s="263">
        <v>100</v>
      </c>
      <c r="M73" s="274">
        <f t="shared" ref="M73" si="38">SUM(B73:L73)</f>
        <v>4000</v>
      </c>
      <c r="N73" s="263"/>
      <c r="O73" s="263"/>
      <c r="P73" s="263"/>
      <c r="Q73" s="263"/>
      <c r="R73" s="296">
        <f t="shared" si="37"/>
        <v>0</v>
      </c>
    </row>
    <row r="74" spans="1:18" ht="17" outlineLevel="1" thickBot="1" x14ac:dyDescent="0.25">
      <c r="A74" s="38" t="s">
        <v>643</v>
      </c>
      <c r="B74" s="39">
        <f t="shared" ref="B74:L74" si="39">SUBTOTAL(9,B72:B73)</f>
        <v>0</v>
      </c>
      <c r="C74" s="40">
        <f t="shared" si="39"/>
        <v>2000</v>
      </c>
      <c r="D74" s="40">
        <f t="shared" si="39"/>
        <v>200</v>
      </c>
      <c r="E74" s="40">
        <f t="shared" si="39"/>
        <v>400</v>
      </c>
      <c r="F74" s="40">
        <f t="shared" si="39"/>
        <v>100</v>
      </c>
      <c r="G74" s="40">
        <f t="shared" si="39"/>
        <v>100</v>
      </c>
      <c r="H74" s="40">
        <f t="shared" si="39"/>
        <v>100</v>
      </c>
      <c r="I74" s="40">
        <f t="shared" si="39"/>
        <v>300</v>
      </c>
      <c r="J74" s="40">
        <f t="shared" si="39"/>
        <v>500</v>
      </c>
      <c r="K74" s="40">
        <f t="shared" si="39"/>
        <v>200</v>
      </c>
      <c r="L74" s="40">
        <f t="shared" si="39"/>
        <v>100</v>
      </c>
      <c r="M74" s="40">
        <f>SUM(B74:L74)</f>
        <v>4000</v>
      </c>
      <c r="N74" s="41">
        <f>SUBTOTAL(9,N72:N73)</f>
        <v>0</v>
      </c>
      <c r="O74" s="41">
        <f>SUBTOTAL(9,O72:O73)</f>
        <v>0</v>
      </c>
      <c r="P74" s="41">
        <f>SUBTOTAL(9,P72:P73)</f>
        <v>0</v>
      </c>
      <c r="Q74" s="41">
        <f>SUBTOTAL(9,Q72:Q73)</f>
        <v>0</v>
      </c>
      <c r="R74" s="42">
        <f>SUBTOTAL(9,R72:R73)</f>
        <v>0</v>
      </c>
    </row>
    <row r="75" spans="1:18" outlineLevel="1" x14ac:dyDescent="0.2">
      <c r="A75" s="26"/>
      <c r="B75" s="43"/>
      <c r="C75" s="43"/>
      <c r="D75" s="43"/>
      <c r="E75" s="43"/>
      <c r="F75" s="43"/>
      <c r="G75" s="43"/>
      <c r="H75" s="43"/>
      <c r="I75" s="43"/>
      <c r="J75" s="43"/>
      <c r="K75" s="43"/>
      <c r="L75" s="43"/>
      <c r="M75" s="43"/>
      <c r="N75" s="43"/>
      <c r="O75" s="43"/>
      <c r="P75" s="43"/>
      <c r="Q75" s="43"/>
      <c r="R75" s="44"/>
    </row>
    <row r="76" spans="1:18" ht="17" outlineLevel="1" thickBot="1" x14ac:dyDescent="0.25">
      <c r="A76" s="31" t="s">
        <v>660</v>
      </c>
      <c r="B76" s="35"/>
      <c r="C76" s="35"/>
      <c r="D76" s="35"/>
      <c r="E76" s="35"/>
      <c r="F76" s="35"/>
      <c r="G76" s="35"/>
      <c r="H76" s="35"/>
      <c r="I76" s="35"/>
      <c r="J76" s="35"/>
      <c r="K76" s="35"/>
      <c r="L76" s="35"/>
      <c r="M76" s="35"/>
      <c r="N76" s="36"/>
      <c r="O76" s="36"/>
      <c r="P76" s="36"/>
      <c r="Q76" s="36"/>
      <c r="R76" s="37"/>
    </row>
    <row r="77" spans="1:18" s="67" customFormat="1" ht="16" outlineLevel="2" thickBot="1" x14ac:dyDescent="0.25">
      <c r="A77" s="289"/>
      <c r="B77" s="290"/>
      <c r="C77" s="290">
        <v>0</v>
      </c>
      <c r="D77" s="290"/>
      <c r="E77" s="290"/>
      <c r="F77" s="290"/>
      <c r="G77" s="290">
        <v>0</v>
      </c>
      <c r="H77" s="290"/>
      <c r="I77" s="290"/>
      <c r="J77" s="290"/>
      <c r="K77" s="290"/>
      <c r="L77" s="290"/>
      <c r="M77" s="291">
        <f>SUM(B77:L77)</f>
        <v>0</v>
      </c>
      <c r="N77" s="290"/>
      <c r="O77" s="290"/>
      <c r="P77" s="290"/>
      <c r="Q77" s="290"/>
      <c r="R77" s="292">
        <f>SUM(N77:Q77)</f>
        <v>0</v>
      </c>
    </row>
    <row r="78" spans="1:18" s="67" customFormat="1" ht="323.25" customHeight="1" outlineLevel="2" thickBot="1" x14ac:dyDescent="0.25">
      <c r="A78" s="227" t="s">
        <v>1357</v>
      </c>
      <c r="B78" s="228"/>
      <c r="C78" s="228"/>
      <c r="D78" s="228">
        <v>1000</v>
      </c>
      <c r="E78" s="228"/>
      <c r="F78" s="228"/>
      <c r="G78" s="228"/>
      <c r="H78" s="228"/>
      <c r="I78" s="228"/>
      <c r="J78" s="228"/>
      <c r="K78" s="228">
        <v>19000</v>
      </c>
      <c r="L78" s="228">
        <v>20000</v>
      </c>
      <c r="M78" s="291">
        <f t="shared" ref="M78:M84" si="40">SUM(B78:L78)</f>
        <v>40000</v>
      </c>
      <c r="N78" s="228"/>
      <c r="O78" s="228"/>
      <c r="P78" s="228"/>
      <c r="Q78" s="228"/>
      <c r="R78" s="229"/>
    </row>
    <row r="79" spans="1:18" s="67" customFormat="1" ht="145" outlineLevel="2" thickBot="1" x14ac:dyDescent="0.25">
      <c r="A79" s="227" t="s">
        <v>1358</v>
      </c>
      <c r="B79" s="228"/>
      <c r="C79" s="228"/>
      <c r="D79" s="228"/>
      <c r="E79" s="228"/>
      <c r="F79" s="228"/>
      <c r="G79" s="228"/>
      <c r="H79" s="228"/>
      <c r="I79" s="228"/>
      <c r="J79" s="228"/>
      <c r="K79" s="228">
        <v>10000</v>
      </c>
      <c r="L79" s="228">
        <v>30000</v>
      </c>
      <c r="M79" s="291">
        <f t="shared" si="40"/>
        <v>40000</v>
      </c>
      <c r="N79" s="228"/>
      <c r="O79" s="228"/>
      <c r="P79" s="228"/>
      <c r="Q79" s="228"/>
      <c r="R79" s="229"/>
    </row>
    <row r="80" spans="1:18" s="67" customFormat="1" ht="16" outlineLevel="2" thickBot="1" x14ac:dyDescent="0.25">
      <c r="A80" s="227"/>
      <c r="B80" s="228"/>
      <c r="C80" s="228"/>
      <c r="D80" s="228"/>
      <c r="E80" s="228"/>
      <c r="F80" s="228"/>
      <c r="G80" s="228"/>
      <c r="H80" s="228"/>
      <c r="I80" s="228"/>
      <c r="J80" s="228"/>
      <c r="K80" s="228"/>
      <c r="L80" s="228"/>
      <c r="M80" s="291">
        <f t="shared" si="40"/>
        <v>0</v>
      </c>
      <c r="N80" s="228"/>
      <c r="O80" s="228"/>
      <c r="P80" s="228"/>
      <c r="Q80" s="228"/>
      <c r="R80" s="229"/>
    </row>
    <row r="81" spans="1:18" s="67" customFormat="1" ht="16" outlineLevel="2" thickBot="1" x14ac:dyDescent="0.25">
      <c r="A81" s="227"/>
      <c r="B81" s="228"/>
      <c r="C81" s="228"/>
      <c r="D81" s="228"/>
      <c r="E81" s="228"/>
      <c r="F81" s="228"/>
      <c r="G81" s="228"/>
      <c r="H81" s="228"/>
      <c r="I81" s="228"/>
      <c r="J81" s="228"/>
      <c r="K81" s="228"/>
      <c r="L81" s="228"/>
      <c r="M81" s="291">
        <f t="shared" si="40"/>
        <v>0</v>
      </c>
      <c r="N81" s="228"/>
      <c r="O81" s="228"/>
      <c r="P81" s="228"/>
      <c r="Q81" s="228"/>
      <c r="R81" s="229"/>
    </row>
    <row r="82" spans="1:18" s="67" customFormat="1" ht="16" outlineLevel="2" thickBot="1" x14ac:dyDescent="0.25">
      <c r="A82" s="227"/>
      <c r="B82" s="228"/>
      <c r="C82" s="228"/>
      <c r="D82" s="228"/>
      <c r="E82" s="228"/>
      <c r="F82" s="228"/>
      <c r="G82" s="228"/>
      <c r="H82" s="228"/>
      <c r="I82" s="228"/>
      <c r="J82" s="228"/>
      <c r="K82" s="228"/>
      <c r="L82" s="228"/>
      <c r="M82" s="291">
        <f t="shared" si="40"/>
        <v>0</v>
      </c>
      <c r="N82" s="228"/>
      <c r="O82" s="228"/>
      <c r="P82" s="228"/>
      <c r="Q82" s="228"/>
      <c r="R82" s="229"/>
    </row>
    <row r="83" spans="1:18" s="67" customFormat="1" ht="16" outlineLevel="2" thickBot="1" x14ac:dyDescent="0.25">
      <c r="A83" s="227"/>
      <c r="B83" s="228"/>
      <c r="C83" s="228"/>
      <c r="D83" s="228"/>
      <c r="E83" s="228"/>
      <c r="F83" s="228"/>
      <c r="G83" s="228"/>
      <c r="H83" s="228"/>
      <c r="I83" s="228"/>
      <c r="J83" s="228"/>
      <c r="K83" s="228"/>
      <c r="L83" s="228"/>
      <c r="M83" s="291">
        <f t="shared" si="40"/>
        <v>0</v>
      </c>
      <c r="N83" s="228"/>
      <c r="O83" s="228"/>
      <c r="P83" s="228"/>
      <c r="Q83" s="228"/>
      <c r="R83" s="229"/>
    </row>
    <row r="84" spans="1:18" s="67" customFormat="1" ht="17" outlineLevel="2" thickBot="1" x14ac:dyDescent="0.25">
      <c r="A84" s="295" t="s">
        <v>642</v>
      </c>
      <c r="B84" s="263"/>
      <c r="C84" s="263"/>
      <c r="D84" s="263"/>
      <c r="E84" s="263"/>
      <c r="F84" s="263"/>
      <c r="G84" s="263"/>
      <c r="H84" s="263"/>
      <c r="I84" s="263"/>
      <c r="J84" s="263"/>
      <c r="K84" s="263">
        <v>500</v>
      </c>
      <c r="L84" s="263">
        <v>4500</v>
      </c>
      <c r="M84" s="291">
        <f t="shared" si="40"/>
        <v>5000</v>
      </c>
      <c r="N84" s="263"/>
      <c r="O84" s="263"/>
      <c r="P84" s="263"/>
      <c r="Q84" s="263"/>
      <c r="R84" s="296">
        <f t="shared" ref="R84" si="41">SUM(N84:Q84)</f>
        <v>0</v>
      </c>
    </row>
    <row r="85" spans="1:18" ht="17" outlineLevel="1" thickBot="1" x14ac:dyDescent="0.25">
      <c r="A85" s="38" t="s">
        <v>643</v>
      </c>
      <c r="B85" s="39">
        <f t="shared" ref="B85:K85" si="42">SUBTOTAL(9,B77:B84)</f>
        <v>0</v>
      </c>
      <c r="C85" s="40">
        <f t="shared" si="42"/>
        <v>0</v>
      </c>
      <c r="D85" s="40">
        <f t="shared" si="42"/>
        <v>1000</v>
      </c>
      <c r="E85" s="40">
        <f t="shared" si="42"/>
        <v>0</v>
      </c>
      <c r="F85" s="40">
        <f t="shared" si="42"/>
        <v>0</v>
      </c>
      <c r="G85" s="40">
        <f t="shared" si="42"/>
        <v>0</v>
      </c>
      <c r="H85" s="40">
        <f t="shared" si="42"/>
        <v>0</v>
      </c>
      <c r="I85" s="40">
        <f t="shared" si="42"/>
        <v>0</v>
      </c>
      <c r="J85" s="40">
        <f t="shared" si="42"/>
        <v>0</v>
      </c>
      <c r="K85" s="40">
        <f t="shared" si="42"/>
        <v>29500</v>
      </c>
      <c r="L85" s="40">
        <f>SUBTOTAL(9,L77:L84)</f>
        <v>54500</v>
      </c>
      <c r="M85" s="40">
        <f>SUM(B85:L85)</f>
        <v>85000</v>
      </c>
      <c r="N85" s="41">
        <f>SUBTOTAL(9,N77:N84)</f>
        <v>0</v>
      </c>
      <c r="O85" s="41">
        <f>SUBTOTAL(9,O77:O84)</f>
        <v>0</v>
      </c>
      <c r="P85" s="41">
        <f>SUBTOTAL(9,P77:P84)</f>
        <v>0</v>
      </c>
      <c r="Q85" s="41">
        <f>SUBTOTAL(9,Q77:Q84)</f>
        <v>0</v>
      </c>
      <c r="R85" s="42">
        <f>SUBTOTAL(9,R77:R84)</f>
        <v>0</v>
      </c>
    </row>
    <row r="86" spans="1:18" outlineLevel="1" x14ac:dyDescent="0.2">
      <c r="A86" s="26"/>
      <c r="B86" s="43"/>
      <c r="C86" s="43"/>
      <c r="D86" s="43"/>
      <c r="E86" s="43"/>
      <c r="F86" s="43"/>
      <c r="G86" s="43"/>
      <c r="H86" s="43"/>
      <c r="I86" s="43"/>
      <c r="J86" s="43"/>
      <c r="K86" s="43"/>
      <c r="L86" s="43"/>
      <c r="M86" s="43"/>
      <c r="N86" s="43"/>
      <c r="O86" s="43"/>
      <c r="P86" s="43"/>
      <c r="Q86" s="43"/>
      <c r="R86" s="44"/>
    </row>
    <row r="87" spans="1:18" ht="17" outlineLevel="1" thickBot="1" x14ac:dyDescent="0.25">
      <c r="A87" s="31" t="s">
        <v>661</v>
      </c>
      <c r="B87" s="35"/>
      <c r="C87" s="35"/>
      <c r="D87" s="35"/>
      <c r="E87" s="35"/>
      <c r="F87" s="35"/>
      <c r="G87" s="35"/>
      <c r="H87" s="35"/>
      <c r="I87" s="35"/>
      <c r="J87" s="35"/>
      <c r="K87" s="35"/>
      <c r="L87" s="35"/>
      <c r="M87" s="35"/>
      <c r="N87" s="36"/>
      <c r="O87" s="36"/>
      <c r="P87" s="36"/>
      <c r="Q87" s="36"/>
      <c r="R87" s="37"/>
    </row>
    <row r="88" spans="1:18" s="67" customFormat="1" outlineLevel="2" x14ac:dyDescent="0.2">
      <c r="A88" s="289"/>
      <c r="B88" s="290"/>
      <c r="C88" s="290"/>
      <c r="D88" s="290"/>
      <c r="E88" s="290"/>
      <c r="F88" s="290"/>
      <c r="G88" s="290"/>
      <c r="H88" s="290"/>
      <c r="I88" s="290"/>
      <c r="J88" s="290"/>
      <c r="K88" s="290"/>
      <c r="L88" s="290"/>
      <c r="M88" s="291">
        <f>SUM(B88:L88)</f>
        <v>0</v>
      </c>
      <c r="N88" s="290"/>
      <c r="O88" s="290"/>
      <c r="P88" s="290"/>
      <c r="Q88" s="290"/>
      <c r="R88" s="292">
        <f>SUM(N88:Q88)</f>
        <v>0</v>
      </c>
    </row>
    <row r="89" spans="1:18" s="67" customFormat="1" outlineLevel="2" x14ac:dyDescent="0.2">
      <c r="A89" s="295"/>
      <c r="B89" s="263"/>
      <c r="C89" s="263"/>
      <c r="D89" s="263"/>
      <c r="E89" s="263"/>
      <c r="F89" s="263"/>
      <c r="G89" s="263"/>
      <c r="H89" s="263"/>
      <c r="I89" s="263"/>
      <c r="J89" s="263"/>
      <c r="K89" s="263"/>
      <c r="L89" s="263"/>
      <c r="M89" s="274">
        <f t="shared" ref="M89:M90" si="43">SUM(B89:L89)</f>
        <v>0</v>
      </c>
      <c r="N89" s="263"/>
      <c r="O89" s="263"/>
      <c r="P89" s="263"/>
      <c r="Q89" s="263"/>
      <c r="R89" s="296">
        <f t="shared" ref="R89:R90" si="44">SUM(N89:Q89)</f>
        <v>0</v>
      </c>
    </row>
    <row r="90" spans="1:18" s="67" customFormat="1" ht="17" outlineLevel="2" thickBot="1" x14ac:dyDescent="0.25">
      <c r="A90" s="295" t="s">
        <v>642</v>
      </c>
      <c r="B90" s="263"/>
      <c r="C90" s="263"/>
      <c r="D90" s="263"/>
      <c r="E90" s="263"/>
      <c r="F90" s="263"/>
      <c r="G90" s="263"/>
      <c r="H90" s="263"/>
      <c r="I90" s="263"/>
      <c r="J90" s="263"/>
      <c r="K90" s="263">
        <v>1500</v>
      </c>
      <c r="L90" s="263"/>
      <c r="M90" s="273">
        <f t="shared" si="43"/>
        <v>1500</v>
      </c>
      <c r="N90" s="263"/>
      <c r="O90" s="263"/>
      <c r="P90" s="263"/>
      <c r="Q90" s="263"/>
      <c r="R90" s="296">
        <f t="shared" si="44"/>
        <v>0</v>
      </c>
    </row>
    <row r="91" spans="1:18" ht="17" outlineLevel="1" thickBot="1" x14ac:dyDescent="0.25">
      <c r="A91" s="38" t="s">
        <v>643</v>
      </c>
      <c r="B91" s="39">
        <f t="shared" ref="B91:L91" si="45">SUBTOTAL(9,B88:B90)</f>
        <v>0</v>
      </c>
      <c r="C91" s="40">
        <f t="shared" si="45"/>
        <v>0</v>
      </c>
      <c r="D91" s="40">
        <f t="shared" si="45"/>
        <v>0</v>
      </c>
      <c r="E91" s="40">
        <f t="shared" si="45"/>
        <v>0</v>
      </c>
      <c r="F91" s="40">
        <f t="shared" si="45"/>
        <v>0</v>
      </c>
      <c r="G91" s="40">
        <f t="shared" si="45"/>
        <v>0</v>
      </c>
      <c r="H91" s="40">
        <f t="shared" si="45"/>
        <v>0</v>
      </c>
      <c r="I91" s="40">
        <f t="shared" si="45"/>
        <v>0</v>
      </c>
      <c r="J91" s="40">
        <f t="shared" si="45"/>
        <v>0</v>
      </c>
      <c r="K91" s="40">
        <f t="shared" si="45"/>
        <v>1500</v>
      </c>
      <c r="L91" s="40">
        <f t="shared" si="45"/>
        <v>0</v>
      </c>
      <c r="M91" s="40">
        <f>SUM(B91:L91)</f>
        <v>1500</v>
      </c>
      <c r="N91" s="41">
        <f>SUBTOTAL(9,N88:N90)</f>
        <v>0</v>
      </c>
      <c r="O91" s="41">
        <f>SUBTOTAL(9,O88:O90)</f>
        <v>0</v>
      </c>
      <c r="P91" s="41">
        <f>SUBTOTAL(9,P88:P90)</f>
        <v>0</v>
      </c>
      <c r="Q91" s="41">
        <f>SUBTOTAL(9,Q88:Q90)</f>
        <v>0</v>
      </c>
      <c r="R91" s="42">
        <f>SUBTOTAL(9,R88:R90)</f>
        <v>0</v>
      </c>
    </row>
    <row r="92" spans="1:18" outlineLevel="1" x14ac:dyDescent="0.2">
      <c r="A92" s="26"/>
      <c r="B92" s="43"/>
      <c r="C92" s="43"/>
      <c r="D92" s="43"/>
      <c r="E92" s="43"/>
      <c r="F92" s="43"/>
      <c r="G92" s="43"/>
      <c r="H92" s="43"/>
      <c r="I92" s="43"/>
      <c r="J92" s="43"/>
      <c r="K92" s="43"/>
      <c r="L92" s="43"/>
      <c r="M92" s="43"/>
      <c r="N92" s="43"/>
      <c r="O92" s="43"/>
      <c r="P92" s="43"/>
      <c r="Q92" s="43"/>
      <c r="R92" s="44"/>
    </row>
    <row r="93" spans="1:18" ht="17" outlineLevel="1" thickBot="1" x14ac:dyDescent="0.25">
      <c r="A93" s="31" t="s">
        <v>662</v>
      </c>
      <c r="B93" s="35"/>
      <c r="C93" s="35"/>
      <c r="D93" s="35"/>
      <c r="E93" s="35"/>
      <c r="F93" s="35"/>
      <c r="G93" s="35"/>
      <c r="H93" s="35"/>
      <c r="I93" s="35"/>
      <c r="J93" s="35"/>
      <c r="K93" s="35"/>
      <c r="L93" s="35"/>
      <c r="M93" s="35"/>
      <c r="N93" s="36"/>
      <c r="O93" s="36"/>
      <c r="P93" s="36"/>
      <c r="Q93" s="36"/>
      <c r="R93" s="37"/>
    </row>
    <row r="94" spans="1:18" s="67" customFormat="1" outlineLevel="2" x14ac:dyDescent="0.2">
      <c r="A94" s="289"/>
      <c r="B94" s="290"/>
      <c r="C94" s="290"/>
      <c r="D94" s="290"/>
      <c r="E94" s="290"/>
      <c r="F94" s="290"/>
      <c r="G94" s="290"/>
      <c r="H94" s="290"/>
      <c r="I94" s="290"/>
      <c r="J94" s="290"/>
      <c r="K94" s="290"/>
      <c r="L94" s="290"/>
      <c r="M94" s="291">
        <f>SUM(B94:L94)</f>
        <v>0</v>
      </c>
      <c r="N94" s="290"/>
      <c r="O94" s="290"/>
      <c r="P94" s="290"/>
      <c r="Q94" s="290"/>
      <c r="R94" s="292">
        <f>SUM(N94:Q94)</f>
        <v>0</v>
      </c>
    </row>
    <row r="95" spans="1:18" s="67" customFormat="1" ht="17" outlineLevel="2" thickBot="1" x14ac:dyDescent="0.25">
      <c r="A95" s="295" t="s">
        <v>642</v>
      </c>
      <c r="B95" s="263"/>
      <c r="C95" s="263"/>
      <c r="D95" s="263"/>
      <c r="E95" s="263"/>
      <c r="F95" s="263"/>
      <c r="G95" s="263"/>
      <c r="H95" s="263"/>
      <c r="I95" s="263"/>
      <c r="J95" s="263"/>
      <c r="K95" s="263"/>
      <c r="L95" s="263"/>
      <c r="M95" s="273">
        <f t="shared" ref="M95" si="46">SUM(B95:L95)</f>
        <v>0</v>
      </c>
      <c r="N95" s="263"/>
      <c r="O95" s="263"/>
      <c r="P95" s="263"/>
      <c r="Q95" s="263"/>
      <c r="R95" s="296">
        <f t="shared" ref="R95" si="47">SUM(N95:Q95)</f>
        <v>0</v>
      </c>
    </row>
    <row r="96" spans="1:18" ht="17" outlineLevel="1" thickBot="1" x14ac:dyDescent="0.25">
      <c r="A96" s="38" t="s">
        <v>643</v>
      </c>
      <c r="B96" s="39">
        <f t="shared" ref="B96:L96" si="48">SUBTOTAL(9,B94:B95)</f>
        <v>0</v>
      </c>
      <c r="C96" s="40">
        <f t="shared" si="48"/>
        <v>0</v>
      </c>
      <c r="D96" s="40">
        <f t="shared" si="48"/>
        <v>0</v>
      </c>
      <c r="E96" s="40">
        <f t="shared" si="48"/>
        <v>0</v>
      </c>
      <c r="F96" s="40">
        <f t="shared" si="48"/>
        <v>0</v>
      </c>
      <c r="G96" s="40">
        <f t="shared" si="48"/>
        <v>0</v>
      </c>
      <c r="H96" s="40">
        <f t="shared" si="48"/>
        <v>0</v>
      </c>
      <c r="I96" s="40">
        <f t="shared" si="48"/>
        <v>0</v>
      </c>
      <c r="J96" s="40">
        <f t="shared" si="48"/>
        <v>0</v>
      </c>
      <c r="K96" s="40">
        <f t="shared" si="48"/>
        <v>0</v>
      </c>
      <c r="L96" s="40">
        <f t="shared" si="48"/>
        <v>0</v>
      </c>
      <c r="M96" s="40">
        <f>SUM(B96:L96)</f>
        <v>0</v>
      </c>
      <c r="N96" s="41">
        <f>SUBTOTAL(9,N94:N95)</f>
        <v>0</v>
      </c>
      <c r="O96" s="41">
        <f>SUBTOTAL(9,O94:O95)</f>
        <v>0</v>
      </c>
      <c r="P96" s="41">
        <f>SUBTOTAL(9,P94:P95)</f>
        <v>0</v>
      </c>
      <c r="Q96" s="41">
        <f>SUBTOTAL(9,Q94:Q95)</f>
        <v>0</v>
      </c>
      <c r="R96" s="42">
        <f>SUBTOTAL(9,R94:R95)</f>
        <v>0</v>
      </c>
    </row>
    <row r="97" spans="1:18" outlineLevel="1" x14ac:dyDescent="0.2">
      <c r="A97" s="26"/>
      <c r="B97" s="43"/>
      <c r="C97" s="43"/>
      <c r="D97" s="43"/>
      <c r="E97" s="43"/>
      <c r="F97" s="43"/>
      <c r="G97" s="43"/>
      <c r="H97" s="43"/>
      <c r="I97" s="43"/>
      <c r="J97" s="43"/>
      <c r="K97" s="43"/>
      <c r="L97" s="43"/>
      <c r="M97" s="43"/>
      <c r="N97" s="43"/>
      <c r="O97" s="43"/>
      <c r="P97" s="43"/>
      <c r="Q97" s="43"/>
      <c r="R97" s="44"/>
    </row>
    <row r="98" spans="1:18" ht="17" outlineLevel="1" thickBot="1" x14ac:dyDescent="0.25">
      <c r="A98" s="31" t="s">
        <v>663</v>
      </c>
      <c r="B98" s="35"/>
      <c r="C98" s="35"/>
      <c r="D98" s="35"/>
      <c r="E98" s="35"/>
      <c r="F98" s="35"/>
      <c r="G98" s="35"/>
      <c r="H98" s="35"/>
      <c r="I98" s="35"/>
      <c r="J98" s="35"/>
      <c r="K98" s="35"/>
      <c r="L98" s="35"/>
      <c r="M98" s="35"/>
      <c r="N98" s="36"/>
      <c r="O98" s="36"/>
      <c r="P98" s="36"/>
      <c r="Q98" s="36"/>
      <c r="R98" s="37"/>
    </row>
    <row r="99" spans="1:18" s="67" customFormat="1" outlineLevel="2" x14ac:dyDescent="0.2">
      <c r="A99" s="289"/>
      <c r="B99" s="290"/>
      <c r="C99" s="290"/>
      <c r="D99" s="290"/>
      <c r="E99" s="290"/>
      <c r="F99" s="290"/>
      <c r="G99" s="290"/>
      <c r="H99" s="290"/>
      <c r="I99" s="290"/>
      <c r="J99" s="290"/>
      <c r="K99" s="290"/>
      <c r="L99" s="290"/>
      <c r="M99" s="291">
        <f>SUM(B99:L99)</f>
        <v>0</v>
      </c>
      <c r="N99" s="290"/>
      <c r="O99" s="290"/>
      <c r="P99" s="290"/>
      <c r="Q99" s="290"/>
      <c r="R99" s="292">
        <f>SUM(N99:Q99)</f>
        <v>0</v>
      </c>
    </row>
    <row r="100" spans="1:18" s="67" customFormat="1" ht="17" outlineLevel="2" thickBot="1" x14ac:dyDescent="0.25">
      <c r="A100" s="295" t="s">
        <v>642</v>
      </c>
      <c r="B100" s="263"/>
      <c r="C100" s="263"/>
      <c r="D100" s="263"/>
      <c r="E100" s="263"/>
      <c r="F100" s="263"/>
      <c r="G100" s="263"/>
      <c r="H100" s="263"/>
      <c r="I100" s="263"/>
      <c r="J100" s="263"/>
      <c r="K100" s="263">
        <v>500</v>
      </c>
      <c r="L100" s="263"/>
      <c r="M100" s="273">
        <f t="shared" ref="M100" si="49">SUM(B100:L100)</f>
        <v>500</v>
      </c>
      <c r="N100" s="263"/>
      <c r="O100" s="263"/>
      <c r="P100" s="263"/>
      <c r="Q100" s="263"/>
      <c r="R100" s="296">
        <f t="shared" ref="R100" si="50">SUM(N100:Q100)</f>
        <v>0</v>
      </c>
    </row>
    <row r="101" spans="1:18" ht="17" outlineLevel="1" thickBot="1" x14ac:dyDescent="0.25">
      <c r="A101" s="38" t="s">
        <v>643</v>
      </c>
      <c r="B101" s="39">
        <f t="shared" ref="B101:L101" si="51">SUBTOTAL(9,B99:B100)</f>
        <v>0</v>
      </c>
      <c r="C101" s="40">
        <f t="shared" si="51"/>
        <v>0</v>
      </c>
      <c r="D101" s="40">
        <f t="shared" si="51"/>
        <v>0</v>
      </c>
      <c r="E101" s="40">
        <f t="shared" si="51"/>
        <v>0</v>
      </c>
      <c r="F101" s="40">
        <f t="shared" si="51"/>
        <v>0</v>
      </c>
      <c r="G101" s="40">
        <f t="shared" si="51"/>
        <v>0</v>
      </c>
      <c r="H101" s="40">
        <f t="shared" si="51"/>
        <v>0</v>
      </c>
      <c r="I101" s="40">
        <f t="shared" si="51"/>
        <v>0</v>
      </c>
      <c r="J101" s="40">
        <f t="shared" si="51"/>
        <v>0</v>
      </c>
      <c r="K101" s="40">
        <f t="shared" si="51"/>
        <v>500</v>
      </c>
      <c r="L101" s="40">
        <f t="shared" si="51"/>
        <v>0</v>
      </c>
      <c r="M101" s="40">
        <f>SUM(B101:L101)</f>
        <v>500</v>
      </c>
      <c r="N101" s="41">
        <f>SUBTOTAL(9,N99:N100)</f>
        <v>0</v>
      </c>
      <c r="O101" s="41">
        <f>SUBTOTAL(9,O99:O100)</f>
        <v>0</v>
      </c>
      <c r="P101" s="41">
        <f>SUBTOTAL(9,P99:P100)</f>
        <v>0</v>
      </c>
      <c r="Q101" s="41">
        <f>SUBTOTAL(9,Q99:Q100)</f>
        <v>0</v>
      </c>
      <c r="R101" s="42">
        <f>SUBTOTAL(9,R99:R100)</f>
        <v>0</v>
      </c>
    </row>
    <row r="102" spans="1:18" outlineLevel="1" x14ac:dyDescent="0.2">
      <c r="A102" s="26"/>
      <c r="B102" s="43"/>
      <c r="C102" s="43"/>
      <c r="D102" s="43"/>
      <c r="E102" s="43"/>
      <c r="F102" s="43"/>
      <c r="G102" s="43"/>
      <c r="H102" s="43"/>
      <c r="I102" s="43"/>
      <c r="J102" s="43"/>
      <c r="K102" s="43"/>
      <c r="L102" s="43"/>
      <c r="M102" s="43"/>
      <c r="N102" s="43"/>
      <c r="O102" s="43"/>
      <c r="P102" s="43"/>
      <c r="Q102" s="43"/>
      <c r="R102" s="44"/>
    </row>
    <row r="103" spans="1:18" ht="17" outlineLevel="1" thickBot="1" x14ac:dyDescent="0.25">
      <c r="A103" s="31" t="s">
        <v>665</v>
      </c>
      <c r="B103" s="35"/>
      <c r="C103" s="35"/>
      <c r="D103" s="35"/>
      <c r="E103" s="35"/>
      <c r="F103" s="35"/>
      <c r="G103" s="35"/>
      <c r="H103" s="35"/>
      <c r="I103" s="35"/>
      <c r="J103" s="35"/>
      <c r="K103" s="35"/>
      <c r="L103" s="35"/>
      <c r="M103" s="35"/>
      <c r="N103" s="36"/>
      <c r="O103" s="36"/>
      <c r="P103" s="36"/>
      <c r="Q103" s="36"/>
      <c r="R103" s="37"/>
    </row>
    <row r="104" spans="1:18" s="67" customFormat="1" outlineLevel="2" x14ac:dyDescent="0.2">
      <c r="A104" s="289"/>
      <c r="B104" s="290"/>
      <c r="C104" s="290"/>
      <c r="D104" s="290"/>
      <c r="E104" s="290"/>
      <c r="F104" s="290"/>
      <c r="G104" s="290"/>
      <c r="H104" s="290"/>
      <c r="I104" s="290"/>
      <c r="J104" s="290"/>
      <c r="K104" s="290"/>
      <c r="L104" s="290"/>
      <c r="M104" s="291">
        <f>SUM(B104:L104)</f>
        <v>0</v>
      </c>
      <c r="N104" s="290"/>
      <c r="O104" s="290"/>
      <c r="P104" s="290"/>
      <c r="Q104" s="290"/>
      <c r="R104" s="292">
        <f>SUM(N104:Q104)</f>
        <v>0</v>
      </c>
    </row>
    <row r="105" spans="1:18" s="67" customFormat="1" ht="17" outlineLevel="2" thickBot="1" x14ac:dyDescent="0.25">
      <c r="A105" s="295" t="s">
        <v>642</v>
      </c>
      <c r="B105" s="263">
        <v>0</v>
      </c>
      <c r="C105" s="263">
        <v>500</v>
      </c>
      <c r="D105" s="263"/>
      <c r="E105" s="263"/>
      <c r="F105" s="263"/>
      <c r="G105" s="263"/>
      <c r="H105" s="263"/>
      <c r="I105" s="263"/>
      <c r="J105" s="263"/>
      <c r="K105" s="263">
        <v>500</v>
      </c>
      <c r="L105" s="263"/>
      <c r="M105" s="273">
        <f t="shared" ref="M105" si="52">SUM(B105:L105)</f>
        <v>1000</v>
      </c>
      <c r="N105" s="263"/>
      <c r="O105" s="263"/>
      <c r="P105" s="263"/>
      <c r="Q105" s="263"/>
      <c r="R105" s="296">
        <f t="shared" ref="R105" si="53">SUM(N105:Q105)</f>
        <v>0</v>
      </c>
    </row>
    <row r="106" spans="1:18" ht="17" outlineLevel="1" thickBot="1" x14ac:dyDescent="0.25">
      <c r="A106" s="38" t="s">
        <v>643</v>
      </c>
      <c r="B106" s="39">
        <f t="shared" ref="B106:L106" si="54">SUBTOTAL(9,B104:B105)</f>
        <v>0</v>
      </c>
      <c r="C106" s="40">
        <f t="shared" si="54"/>
        <v>500</v>
      </c>
      <c r="D106" s="40">
        <f t="shared" si="54"/>
        <v>0</v>
      </c>
      <c r="E106" s="40">
        <f t="shared" si="54"/>
        <v>0</v>
      </c>
      <c r="F106" s="40">
        <f t="shared" si="54"/>
        <v>0</v>
      </c>
      <c r="G106" s="40">
        <f t="shared" si="54"/>
        <v>0</v>
      </c>
      <c r="H106" s="40">
        <f t="shared" si="54"/>
        <v>0</v>
      </c>
      <c r="I106" s="40">
        <f t="shared" si="54"/>
        <v>0</v>
      </c>
      <c r="J106" s="40">
        <f t="shared" si="54"/>
        <v>0</v>
      </c>
      <c r="K106" s="40">
        <f t="shared" si="54"/>
        <v>500</v>
      </c>
      <c r="L106" s="40">
        <f t="shared" si="54"/>
        <v>0</v>
      </c>
      <c r="M106" s="40">
        <f>SUM(B106:L106)</f>
        <v>1000</v>
      </c>
      <c r="N106" s="41">
        <f>SUBTOTAL(9,N104:N105)</f>
        <v>0</v>
      </c>
      <c r="O106" s="41">
        <f>SUBTOTAL(9,O104:O105)</f>
        <v>0</v>
      </c>
      <c r="P106" s="41">
        <f>SUBTOTAL(9,P104:P105)</f>
        <v>0</v>
      </c>
      <c r="Q106" s="41">
        <f>SUBTOTAL(9,Q104:Q105)</f>
        <v>0</v>
      </c>
      <c r="R106" s="42">
        <f>SUBTOTAL(9,R104:R105)</f>
        <v>0</v>
      </c>
    </row>
    <row r="107" spans="1:18" outlineLevel="1" x14ac:dyDescent="0.2">
      <c r="A107" s="26"/>
      <c r="B107" s="43"/>
      <c r="C107" s="43"/>
      <c r="D107" s="43"/>
      <c r="E107" s="43"/>
      <c r="F107" s="43"/>
      <c r="G107" s="43"/>
      <c r="H107" s="43"/>
      <c r="I107" s="43"/>
      <c r="J107" s="43"/>
      <c r="K107" s="43"/>
      <c r="L107" s="43"/>
      <c r="M107" s="43"/>
      <c r="N107" s="43"/>
      <c r="O107" s="43"/>
      <c r="P107" s="43"/>
      <c r="Q107" s="43"/>
      <c r="R107" s="44"/>
    </row>
    <row r="108" spans="1:18" ht="17" outlineLevel="1" thickBot="1" x14ac:dyDescent="0.25">
      <c r="A108" s="31" t="s">
        <v>666</v>
      </c>
      <c r="B108" s="35"/>
      <c r="C108" s="35"/>
      <c r="D108" s="35"/>
      <c r="E108" s="35"/>
      <c r="F108" s="35"/>
      <c r="G108" s="35"/>
      <c r="H108" s="35"/>
      <c r="I108" s="35"/>
      <c r="J108" s="35"/>
      <c r="K108" s="35"/>
      <c r="L108" s="35"/>
      <c r="M108" s="35"/>
      <c r="N108" s="36"/>
      <c r="O108" s="36"/>
      <c r="P108" s="36"/>
      <c r="Q108" s="36"/>
      <c r="R108" s="37"/>
    </row>
    <row r="109" spans="1:18" s="67" customFormat="1" ht="80" outlineLevel="2" x14ac:dyDescent="0.2">
      <c r="A109" s="289" t="s">
        <v>1326</v>
      </c>
      <c r="B109" s="290"/>
      <c r="C109" s="290"/>
      <c r="D109" s="290">
        <v>9000</v>
      </c>
      <c r="E109" s="290"/>
      <c r="F109" s="290"/>
      <c r="G109" s="290">
        <v>500</v>
      </c>
      <c r="H109" s="290">
        <v>6000</v>
      </c>
      <c r="I109" s="290"/>
      <c r="J109" s="290"/>
      <c r="K109" s="290">
        <v>500</v>
      </c>
      <c r="L109" s="290"/>
      <c r="M109" s="291">
        <f>SUM(B109:L109)</f>
        <v>16000</v>
      </c>
      <c r="N109" s="290"/>
      <c r="O109" s="290"/>
      <c r="P109" s="290"/>
      <c r="Q109" s="290"/>
      <c r="R109" s="292">
        <f>SUM(N109:Q109)</f>
        <v>0</v>
      </c>
    </row>
    <row r="110" spans="1:18" s="67" customFormat="1" ht="48" outlineLevel="2" x14ac:dyDescent="0.2">
      <c r="A110" s="293" t="s">
        <v>1327</v>
      </c>
      <c r="B110" s="274">
        <v>10000</v>
      </c>
      <c r="C110" s="274"/>
      <c r="D110" s="274"/>
      <c r="E110" s="274"/>
      <c r="F110" s="274"/>
      <c r="G110" s="274"/>
      <c r="H110" s="274"/>
      <c r="I110" s="274"/>
      <c r="J110" s="274"/>
      <c r="K110" s="274"/>
      <c r="L110" s="274"/>
      <c r="M110" s="274">
        <f t="shared" ref="M110:M113" si="55">SUM(B110:L110)</f>
        <v>10000</v>
      </c>
      <c r="N110" s="274"/>
      <c r="O110" s="274"/>
      <c r="P110" s="274"/>
      <c r="Q110" s="274"/>
      <c r="R110" s="294">
        <f t="shared" ref="R110:R113" si="56">SUM(N110:Q110)</f>
        <v>0</v>
      </c>
    </row>
    <row r="111" spans="1:18" s="67" customFormat="1" ht="16" outlineLevel="2" x14ac:dyDescent="0.25">
      <c r="A111" s="894" t="s">
        <v>1328</v>
      </c>
      <c r="B111" s="274"/>
      <c r="C111" s="274"/>
      <c r="D111" s="274"/>
      <c r="E111" s="274"/>
      <c r="F111" s="274"/>
      <c r="G111" s="274"/>
      <c r="H111" s="274"/>
      <c r="I111" s="274"/>
      <c r="J111" s="274">
        <v>5000</v>
      </c>
      <c r="K111" s="274"/>
      <c r="L111" s="274"/>
      <c r="M111" s="274">
        <f t="shared" si="55"/>
        <v>5000</v>
      </c>
      <c r="N111" s="274"/>
      <c r="O111" s="274"/>
      <c r="P111" s="274"/>
      <c r="Q111" s="274"/>
      <c r="R111" s="294">
        <f t="shared" si="56"/>
        <v>0</v>
      </c>
    </row>
    <row r="112" spans="1:18" s="67" customFormat="1" outlineLevel="2" x14ac:dyDescent="0.2">
      <c r="A112" s="295"/>
      <c r="B112" s="263"/>
      <c r="C112" s="263"/>
      <c r="D112" s="263"/>
      <c r="E112" s="263"/>
      <c r="F112" s="263"/>
      <c r="G112" s="263"/>
      <c r="H112" s="263"/>
      <c r="I112" s="263"/>
      <c r="J112" s="263"/>
      <c r="K112" s="263"/>
      <c r="L112" s="263"/>
      <c r="M112" s="274">
        <f t="shared" si="55"/>
        <v>0</v>
      </c>
      <c r="N112" s="263"/>
      <c r="O112" s="263"/>
      <c r="P112" s="263"/>
      <c r="Q112" s="263"/>
      <c r="R112" s="296">
        <f t="shared" si="56"/>
        <v>0</v>
      </c>
    </row>
    <row r="113" spans="1:18" s="67" customFormat="1" ht="17" outlineLevel="2" thickBot="1" x14ac:dyDescent="0.25">
      <c r="A113" s="295" t="s">
        <v>642</v>
      </c>
      <c r="B113" s="263"/>
      <c r="C113" s="263">
        <v>1000</v>
      </c>
      <c r="D113" s="263">
        <v>200</v>
      </c>
      <c r="E113" s="263">
        <v>200</v>
      </c>
      <c r="F113" s="263">
        <v>100</v>
      </c>
      <c r="G113" s="263">
        <v>100</v>
      </c>
      <c r="H113" s="263">
        <v>300</v>
      </c>
      <c r="I113" s="263">
        <v>300</v>
      </c>
      <c r="J113" s="263">
        <v>1000</v>
      </c>
      <c r="K113" s="263">
        <v>500</v>
      </c>
      <c r="L113" s="263"/>
      <c r="M113" s="273">
        <f t="shared" si="55"/>
        <v>3700</v>
      </c>
      <c r="N113" s="263"/>
      <c r="O113" s="263"/>
      <c r="P113" s="263"/>
      <c r="Q113" s="263"/>
      <c r="R113" s="296">
        <f t="shared" si="56"/>
        <v>0</v>
      </c>
    </row>
    <row r="114" spans="1:18" ht="17" outlineLevel="1" thickBot="1" x14ac:dyDescent="0.25">
      <c r="A114" s="38" t="s">
        <v>643</v>
      </c>
      <c r="B114" s="39">
        <f>SUBTOTAL(9,B109:B113)</f>
        <v>10000</v>
      </c>
      <c r="C114" s="40">
        <f t="shared" ref="C114" si="57">SUBTOTAL(9,C109:C113)</f>
        <v>1000</v>
      </c>
      <c r="D114" s="40">
        <f t="shared" ref="D114" si="58">SUBTOTAL(9,D109:D113)</f>
        <v>9200</v>
      </c>
      <c r="E114" s="40">
        <f t="shared" ref="E114" si="59">SUBTOTAL(9,E109:E113)</f>
        <v>200</v>
      </c>
      <c r="F114" s="40">
        <f t="shared" ref="F114" si="60">SUBTOTAL(9,F109:F113)</f>
        <v>100</v>
      </c>
      <c r="G114" s="40">
        <f t="shared" ref="G114" si="61">SUBTOTAL(9,G109:G113)</f>
        <v>600</v>
      </c>
      <c r="H114" s="40">
        <f t="shared" ref="H114" si="62">SUBTOTAL(9,H109:H113)</f>
        <v>6300</v>
      </c>
      <c r="I114" s="40">
        <f t="shared" ref="I114" si="63">SUBTOTAL(9,I109:I113)</f>
        <v>300</v>
      </c>
      <c r="J114" s="40">
        <f t="shared" ref="J114" si="64">SUBTOTAL(9,J109:J113)</f>
        <v>6000</v>
      </c>
      <c r="K114" s="40">
        <f t="shared" ref="K114:L114" si="65">SUBTOTAL(9,K109:K113)</f>
        <v>1000</v>
      </c>
      <c r="L114" s="40">
        <f t="shared" si="65"/>
        <v>0</v>
      </c>
      <c r="M114" s="40">
        <f>SUM(B114:L114)</f>
        <v>34700</v>
      </c>
      <c r="N114" s="41">
        <f t="shared" ref="N114" si="66">SUBTOTAL(9,N109:N113)</f>
        <v>0</v>
      </c>
      <c r="O114" s="41">
        <f t="shared" ref="O114" si="67">SUBTOTAL(9,O109:O113)</f>
        <v>0</v>
      </c>
      <c r="P114" s="41">
        <f t="shared" ref="P114" si="68">SUBTOTAL(9,P109:P113)</f>
        <v>0</v>
      </c>
      <c r="Q114" s="41">
        <f t="shared" ref="Q114" si="69">SUBTOTAL(9,Q109:Q113)</f>
        <v>0</v>
      </c>
      <c r="R114" s="42">
        <f t="shared" ref="R114" si="70">SUBTOTAL(9,R109:R113)</f>
        <v>0</v>
      </c>
    </row>
    <row r="115" spans="1:18" outlineLevel="1" x14ac:dyDescent="0.2">
      <c r="A115" s="26"/>
      <c r="B115" s="43"/>
      <c r="C115" s="43"/>
      <c r="D115" s="43"/>
      <c r="E115" s="43"/>
      <c r="F115" s="43"/>
      <c r="G115" s="43"/>
      <c r="H115" s="43"/>
      <c r="I115" s="43"/>
      <c r="J115" s="43"/>
      <c r="K115" s="43"/>
      <c r="L115" s="43"/>
      <c r="M115" s="43"/>
      <c r="N115" s="43"/>
      <c r="O115" s="43"/>
      <c r="P115" s="43"/>
      <c r="Q115" s="43"/>
      <c r="R115" s="44"/>
    </row>
    <row r="116" spans="1:18" s="67" customFormat="1" ht="32" outlineLevel="1" x14ac:dyDescent="0.2">
      <c r="A116" s="227" t="s">
        <v>667</v>
      </c>
      <c r="B116" s="228"/>
      <c r="C116" s="228">
        <v>1000</v>
      </c>
      <c r="D116" s="228">
        <v>2000</v>
      </c>
      <c r="E116" s="228">
        <v>400</v>
      </c>
      <c r="F116" s="228"/>
      <c r="G116" s="228">
        <v>200</v>
      </c>
      <c r="H116" s="228">
        <v>1000</v>
      </c>
      <c r="I116" s="228">
        <v>500</v>
      </c>
      <c r="J116" s="228">
        <v>500</v>
      </c>
      <c r="K116" s="228">
        <v>0</v>
      </c>
      <c r="L116" s="228"/>
      <c r="M116" s="228">
        <f>SUM(B116:K116)</f>
        <v>5600</v>
      </c>
      <c r="N116" s="228"/>
      <c r="O116" s="228">
        <v>200</v>
      </c>
      <c r="P116" s="228"/>
      <c r="Q116" s="228"/>
      <c r="R116" s="229">
        <f>SUM(N116:Q116)</f>
        <v>200</v>
      </c>
    </row>
    <row r="117" spans="1:18" outlineLevel="1" x14ac:dyDescent="0.2">
      <c r="A117" s="26"/>
      <c r="B117" s="43"/>
      <c r="C117" s="43"/>
      <c r="D117" s="43"/>
      <c r="E117" s="43"/>
      <c r="F117" s="43"/>
      <c r="G117" s="43"/>
      <c r="H117" s="43"/>
      <c r="I117" s="43"/>
      <c r="J117" s="43"/>
      <c r="K117" s="43"/>
      <c r="L117" s="43"/>
      <c r="M117" s="43"/>
      <c r="N117" s="43"/>
      <c r="O117" s="43"/>
      <c r="P117" s="43"/>
      <c r="Q117" s="43"/>
      <c r="R117" s="44"/>
    </row>
    <row r="118" spans="1:18" ht="16" x14ac:dyDescent="0.2">
      <c r="A118" s="69" t="s">
        <v>566</v>
      </c>
      <c r="B118" s="27">
        <f>SUBTOTAL(9,Tabelle8[Honorare Dozierende])</f>
        <v>19390</v>
      </c>
      <c r="C118" s="27">
        <f>SUBTOTAL(9,Tabelle8[Andere Honorare])</f>
        <v>13770</v>
      </c>
      <c r="D118" s="27">
        <f>SUBTOTAL(9,Tabelle8[Interne Reisekosten])</f>
        <v>26000</v>
      </c>
      <c r="E118" s="27">
        <f>SUBTOTAL(9,Tabelle8[Externe Reisekosten])</f>
        <v>2900</v>
      </c>
      <c r="F118" s="27">
        <f>SUBTOTAL(9,Tabelle8[Bewirtung/Repräsentation int.])</f>
        <v>2548</v>
      </c>
      <c r="G118" s="27">
        <f>SUBTOTAL(9,Tabelle8[Bewirtung/Repräsentation ext.])</f>
        <v>2900</v>
      </c>
      <c r="H118" s="27">
        <f>SUBTOTAL(9,Tabelle8[Raum- und Unterkunftskosten int.])</f>
        <v>22791</v>
      </c>
      <c r="I118" s="27">
        <f>SUBTOTAL(9,Tabelle8[Raum- und Unterkunftskosten ext.])</f>
        <v>2206</v>
      </c>
      <c r="J118" s="27">
        <f>SUBTOTAL(9,Tabelle8[Druckkosten])</f>
        <v>9025</v>
      </c>
      <c r="K118" s="27">
        <f>SUBTOTAL(9,Tabelle8[Sonstige Ausgaben])</f>
        <v>48390</v>
      </c>
      <c r="L118" s="27">
        <f>SUBTOTAL(9,Tabelle8[IT-Dienstleistungen])</f>
        <v>72288</v>
      </c>
      <c r="M118" s="27"/>
      <c r="N118" s="28">
        <f>SUBTOTAL(9,Tabelle8[Teilnahmebeiträge Seminare])</f>
        <v>2500</v>
      </c>
      <c r="O118" s="28">
        <f>SUBTOTAL(9,Tabelle8[Teilnahmebeiträge Veranstaltungen])</f>
        <v>450</v>
      </c>
      <c r="P118" s="28">
        <f>SUBTOTAL(9,Tabelle8[Bewirtung Veranst.])</f>
        <v>0</v>
      </c>
      <c r="Q118" s="28">
        <f>SUBTOTAL(9,Tabelle8[Förderungen])</f>
        <v>9176.25</v>
      </c>
      <c r="R118" s="28">
        <f>SUBTOTAL(9,Tabelle8[Einnahmen Gesamt])</f>
        <v>12126.25</v>
      </c>
    </row>
    <row r="120" spans="1:18" ht="19" x14ac:dyDescent="0.25">
      <c r="A120" s="11"/>
    </row>
    <row r="121" spans="1:18" ht="20" thickBot="1" x14ac:dyDescent="0.3">
      <c r="A121" s="11"/>
    </row>
    <row r="122" spans="1:18" ht="48" x14ac:dyDescent="0.2">
      <c r="A122" s="299" t="s">
        <v>468</v>
      </c>
      <c r="B122" s="53" t="s">
        <v>668</v>
      </c>
      <c r="C122" s="49" t="s">
        <v>669</v>
      </c>
      <c r="D122" s="49" t="s">
        <v>629</v>
      </c>
    </row>
    <row r="123" spans="1:18" ht="17" thickBot="1" x14ac:dyDescent="0.25">
      <c r="A123" s="57" t="s">
        <v>662</v>
      </c>
      <c r="B123" s="58" t="s">
        <v>670</v>
      </c>
      <c r="C123" s="72" t="s">
        <v>671</v>
      </c>
      <c r="D123" s="72" t="s">
        <v>672</v>
      </c>
    </row>
    <row r="124" spans="1:18" s="67" customFormat="1" ht="16" x14ac:dyDescent="0.2">
      <c r="A124" s="230" t="s">
        <v>673</v>
      </c>
      <c r="B124" s="231">
        <v>0</v>
      </c>
      <c r="C124" s="232">
        <v>0</v>
      </c>
      <c r="D124" s="232">
        <v>0</v>
      </c>
    </row>
    <row r="125" spans="1:18" s="67" customFormat="1" x14ac:dyDescent="0.2">
      <c r="A125" s="233"/>
      <c r="B125" s="300"/>
      <c r="C125" s="301"/>
      <c r="D125" s="301"/>
    </row>
    <row r="126" spans="1:18" s="67" customFormat="1" ht="16" x14ac:dyDescent="0.2">
      <c r="A126" s="233" t="s">
        <v>674</v>
      </c>
      <c r="B126" s="300">
        <v>0</v>
      </c>
      <c r="C126" s="301">
        <v>0</v>
      </c>
      <c r="D126" s="301">
        <v>0</v>
      </c>
    </row>
    <row r="127" spans="1:18" s="67" customFormat="1" ht="17" thickBot="1" x14ac:dyDescent="0.25">
      <c r="A127" s="233" t="s">
        <v>572</v>
      </c>
      <c r="B127" s="234">
        <v>0</v>
      </c>
      <c r="C127" s="302"/>
      <c r="D127" s="302"/>
    </row>
    <row r="128" spans="1:18" ht="17" thickBot="1" x14ac:dyDescent="0.25">
      <c r="A128" s="56" t="s">
        <v>675</v>
      </c>
      <c r="B128" s="303">
        <f>SUBTOTAL(9,B124:B127)</f>
        <v>0</v>
      </c>
      <c r="C128" s="52">
        <f t="shared" ref="C128:D128" si="71">SUBTOTAL(9,C124:C127)</f>
        <v>0</v>
      </c>
      <c r="D128" s="52">
        <f t="shared" si="71"/>
        <v>0</v>
      </c>
    </row>
    <row r="129" spans="1:4" x14ac:dyDescent="0.2">
      <c r="A129" s="56"/>
      <c r="B129" s="54"/>
      <c r="C129" s="51"/>
      <c r="D129" s="51"/>
    </row>
    <row r="130" spans="1:4" ht="17" thickBot="1" x14ac:dyDescent="0.25">
      <c r="A130" s="57" t="s">
        <v>666</v>
      </c>
      <c r="B130" s="59"/>
      <c r="C130" s="60"/>
      <c r="D130" s="60"/>
    </row>
    <row r="131" spans="1:4" s="67" customFormat="1" ht="16" x14ac:dyDescent="0.2">
      <c r="A131" s="230" t="s">
        <v>676</v>
      </c>
      <c r="B131" s="231"/>
      <c r="C131" s="232"/>
      <c r="D131" s="232">
        <f>SUBTOTAL(109,D123:D130)</f>
        <v>0</v>
      </c>
    </row>
    <row r="132" spans="1:4" s="67" customFormat="1" ht="16" x14ac:dyDescent="0.2">
      <c r="A132" s="233" t="s">
        <v>677</v>
      </c>
      <c r="B132" s="300"/>
      <c r="C132" s="301"/>
      <c r="D132" s="301">
        <v>3000</v>
      </c>
    </row>
    <row r="133" spans="1:4" s="67" customFormat="1" ht="16" x14ac:dyDescent="0.2">
      <c r="A133" s="233" t="s">
        <v>678</v>
      </c>
      <c r="B133" s="300">
        <v>0</v>
      </c>
      <c r="C133" s="301"/>
      <c r="D133" s="301">
        <v>0</v>
      </c>
    </row>
    <row r="134" spans="1:4" s="67" customFormat="1" ht="16" x14ac:dyDescent="0.2">
      <c r="A134" s="304" t="s">
        <v>679</v>
      </c>
      <c r="B134" s="234"/>
      <c r="C134" s="302"/>
      <c r="D134" s="302">
        <v>4000</v>
      </c>
    </row>
    <row r="135" spans="1:4" s="67" customFormat="1" ht="16" thickBot="1" x14ac:dyDescent="0.25">
      <c r="A135" s="304"/>
      <c r="B135" s="234"/>
      <c r="C135" s="302"/>
      <c r="D135" s="302"/>
    </row>
    <row r="136" spans="1:4" ht="17" thickBot="1" x14ac:dyDescent="0.25">
      <c r="A136" s="305" t="s">
        <v>675</v>
      </c>
      <c r="B136" s="303">
        <f>SUBTOTAL(9,B131:B134)</f>
        <v>0</v>
      </c>
      <c r="C136" s="73">
        <f>SUBTOTAL(9,C131:C134)</f>
        <v>0</v>
      </c>
      <c r="D136" s="73">
        <f>SUBTOTAL(9,D131:D134)</f>
        <v>7000</v>
      </c>
    </row>
    <row r="137" spans="1:4" x14ac:dyDescent="0.2">
      <c r="A137" s="305"/>
      <c r="B137" s="50"/>
      <c r="C137" s="35"/>
      <c r="D137" s="35"/>
    </row>
    <row r="138" spans="1:4" ht="17" thickBot="1" x14ac:dyDescent="0.25">
      <c r="A138" s="71" t="s">
        <v>680</v>
      </c>
      <c r="B138" s="55">
        <f>SUBTOTAL(9,Tabelle13[Honorare Doz. Lerngruppen])</f>
        <v>0</v>
      </c>
      <c r="C138" s="306">
        <f>SUBTOTAL(9,Tabelle13[Honorare Seminare Campus])</f>
        <v>0</v>
      </c>
      <c r="D138" s="306">
        <f>SUBTOTAL(9,Tabelle13[Bewirtung/Repräsentation ext.])</f>
        <v>7000</v>
      </c>
    </row>
  </sheetData>
  <sheetProtection insertRows="0" insertHyperlinks="0"/>
  <phoneticPr fontId="73" type="noConversion"/>
  <hyperlinks>
    <hyperlink ref="B123" location="Haushalt!D254" display="(Titel 681.30)" xr:uid="{59A6DB71-EF19-4D98-927C-B4E13952ADE4}"/>
    <hyperlink ref="G2" location="AStA_Bew.Ext." display="AStA_Bew.Ext." xr:uid="{59376E25-8018-4D2B-BFD1-61E816BE8822}"/>
    <hyperlink ref="I2" location="AStA_R_U_Ext." display="AStA_R_U_Ext." xr:uid="{BA165B0B-7A8D-4E02-ABA7-3D2B55FC5D41}"/>
    <hyperlink ref="J2" location="AStA_Druck" display="AStA_Druck" xr:uid="{3ED1E10A-4996-46BC-9A61-AF596D2F8624}"/>
    <hyperlink ref="K2" location="AStA_Sonst." display="AStA_Sonst." xr:uid="{C2641174-D2D4-4E48-ABDD-0B86ACCE1614}"/>
    <hyperlink ref="F2" location="AStA_Bew.Int." display="AStA_Bew.Int." xr:uid="{76C3AEAD-D1C3-40EF-9364-0B788A94A409}"/>
    <hyperlink ref="H2" location="AStA_R_U_Int." display="AStA_R_U_Int." xr:uid="{C03DE9C6-BFB9-4171-B906-D42DF6870004}"/>
    <hyperlink ref="N2" location="AStA_TN_I" display="AStA_TN_I" xr:uid="{E5241D20-4208-4494-8A5C-B1B2595EEFD0}"/>
    <hyperlink ref="O2" location="AStA_TN_2" display="AStA_TN_2" xr:uid="{88E627EF-F11F-460F-9E93-79C995876BE2}"/>
    <hyperlink ref="P2" location="AStA_Einn.Bew." display="AStA_Einn.Bew." xr:uid="{F221EF4F-C99D-4473-8DE0-1F553A301AB8}"/>
    <hyperlink ref="Q2" location="Haushalt!D32" display="Haushalt!D32" xr:uid="{425FB2E3-9376-47AF-8D32-526DF482FDAE}"/>
    <hyperlink ref="C123" location="Haushalt!C265" display="(Titel 681.40)" xr:uid="{FEBEC16F-109D-4961-AE93-797E866FD66A}"/>
    <hyperlink ref="D123" location="Haushalt!C266" display="(Titel 681.50)" xr:uid="{09DA907E-5C1E-4EE8-B3EB-9D3399358DE2}"/>
    <hyperlink ref="D136" location="Haushalt!D266" display="Haushalt!D266" xr:uid="{6EAD1D0C-14EC-420D-96C0-C7C0A11A0B8D}"/>
    <hyperlink ref="B136" location="Haushalt!D264" display="Haushalt!D264" xr:uid="{5C4E0BF4-453E-4DB4-B33A-2121D14E2DC8}"/>
    <hyperlink ref="B128" location="Haushalt!D264" display="Haushalt!D264" xr:uid="{91E5A74F-34FD-4EF2-BCEE-7EA78CA25BCD}"/>
    <hyperlink ref="C136" location="Haushalt!D265" display="Haushalt!D265" xr:uid="{362937A6-C27A-4217-9F20-33DCCB4ABC78}"/>
    <hyperlink ref="B4" location="AStA_Hon_I" display="AStA_Hon_I" xr:uid="{CF0DE8E7-1543-42FE-AEA4-CA04D4C2EABB}"/>
    <hyperlink ref="C4" location="AStA_Hon_II" display="AStA_Hon_II" xr:uid="{B53F1D4E-3EBF-456D-92CD-464EA23E9951}"/>
    <hyperlink ref="E4" location="AStA_Ext.RK" display="AStA_Ext.RK" xr:uid="{87E567D4-D790-4CCA-B7A9-389106EB8D29}"/>
    <hyperlink ref="G4" location="AStA_Bew.Ext." display="AStA_Bew.Ext." xr:uid="{D12861DA-B772-4947-B287-F35F5914D849}"/>
    <hyperlink ref="I4" location="AStA_R_U_Ext." display="AStA_R_U_Ext." xr:uid="{CB16BC78-39A7-4759-8A0C-EA118AEFA947}"/>
    <hyperlink ref="J4" location="AStA_Druck" display="AStA_Druck" xr:uid="{286760C5-3125-4E89-9D1B-4028D3932BB3}"/>
    <hyperlink ref="K4" location="AStA_Sonst." display="AStA_Sonst." xr:uid="{238BBE1C-FEEB-4818-A8E3-C2BC409AC4FB}"/>
    <hyperlink ref="F4" location="AStA_Bew.Int." display="AStA_Bew.Int." xr:uid="{28515A3C-4256-4EAA-87FC-CAB4909AD850}"/>
    <hyperlink ref="H4" location="AStA_R_U_Int." display="AStA_R_U_Int." xr:uid="{937089CA-DF95-4608-A97B-DCA26EF12350}"/>
    <hyperlink ref="D4" location="AStA_RK_Int." display="AStA_RK_Int." xr:uid="{5290CBD1-51B9-49B9-8C7B-EA67F9F1D469}"/>
    <hyperlink ref="N4" location="AStA_TN_I" display="AStA_TN_I" xr:uid="{AB35D13C-69E1-478E-A530-E27294D21B3A}"/>
    <hyperlink ref="O4" location="AStA_TN_2" display="AStA_TN_2" xr:uid="{D8820345-320D-45EA-8B08-239341114384}"/>
    <hyperlink ref="P4" location="AStA_Einn.Bew." display="AStA_Einn.Bew." xr:uid="{E74224AC-F348-44B0-B1D5-C56C8E3423DD}"/>
    <hyperlink ref="Q4" location="Förderungen" display="Förderungen" xr:uid="{03587ED3-2184-4F00-B736-CE3DC64F89AB}"/>
    <hyperlink ref="E2" location="AStA_Ext.RK" display="AStA_Ext.RK" xr:uid="{FECF6DE7-857C-4462-B2A7-863876C7D38C}"/>
    <hyperlink ref="D2" location="AStA_RK_Int." display="AStA_RK_Int." xr:uid="{9EA0CB5A-4F13-416B-852B-4E1D4D3AE9BA}"/>
    <hyperlink ref="C2" location="AStA_Hon_II" display="AStA_Hon_II" xr:uid="{24BF712B-E07D-4130-B51D-0444541A701D}"/>
    <hyperlink ref="B2" location="AStA_Hon_I" display="AStA_Hon_I" xr:uid="{AF193A47-7203-418D-A967-4AB86F97A2D1}"/>
    <hyperlink ref="L4" location="Haushalt!E231" display="Haushalt!E231" xr:uid="{D4796C1F-9F33-4E7D-A367-9D068DEB7B02}"/>
  </hyperlinks>
  <pageMargins left="0.7" right="0.7" top="0.78740157499999996" bottom="0.78740157499999996" header="0.3" footer="0.3"/>
  <pageSetup paperSize="9" orientation="portrait" verticalDpi="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6DE1C-99F2-4C71-BF79-27E890BDC88C}">
  <sheetPr codeName="Tabelle14"/>
  <dimension ref="A1:M34"/>
  <sheetViews>
    <sheetView topLeftCell="C13" workbookViewId="0">
      <selection activeCell="K32" sqref="K32"/>
    </sheetView>
  </sheetViews>
  <sheetFormatPr baseColWidth="10" defaultColWidth="11.5" defaultRowHeight="15" x14ac:dyDescent="0.2"/>
  <cols>
    <col min="1" max="1" width="13.5" style="194" customWidth="1"/>
    <col min="2" max="2" width="22.1640625" style="194" customWidth="1"/>
    <col min="3" max="3" width="17.1640625" style="194" customWidth="1"/>
    <col min="4" max="4" width="17.1640625" style="204" customWidth="1"/>
    <col min="5" max="6" width="11" style="194"/>
    <col min="9" max="9" width="20.83203125" customWidth="1"/>
    <col min="11" max="11" width="13" customWidth="1"/>
  </cols>
  <sheetData>
    <row r="1" spans="1:13" ht="19" x14ac:dyDescent="0.25">
      <c r="A1" s="197" t="s">
        <v>681</v>
      </c>
    </row>
    <row r="3" spans="1:13" x14ac:dyDescent="0.2">
      <c r="A3" s="198" t="s">
        <v>540</v>
      </c>
    </row>
    <row r="4" spans="1:13" x14ac:dyDescent="0.2">
      <c r="A4" s="199" t="s">
        <v>578</v>
      </c>
      <c r="B4" s="200" t="s">
        <v>682</v>
      </c>
      <c r="C4" s="200" t="s">
        <v>580</v>
      </c>
      <c r="D4" s="205" t="s">
        <v>581</v>
      </c>
      <c r="E4" s="195" t="s">
        <v>1</v>
      </c>
      <c r="F4" s="195" t="s">
        <v>582</v>
      </c>
      <c r="H4" t="s">
        <v>683</v>
      </c>
    </row>
    <row r="5" spans="1:13" x14ac:dyDescent="0.2">
      <c r="A5" s="275">
        <v>1</v>
      </c>
      <c r="B5" s="203" t="s">
        <v>417</v>
      </c>
      <c r="C5" s="203" t="s">
        <v>684</v>
      </c>
      <c r="D5" s="206">
        <v>5000</v>
      </c>
      <c r="E5" s="307" t="s">
        <v>415</v>
      </c>
      <c r="F5" s="276"/>
    </row>
    <row r="6" spans="1:13" x14ac:dyDescent="0.2">
      <c r="A6" s="275">
        <v>2</v>
      </c>
      <c r="B6" s="203" t="s">
        <v>685</v>
      </c>
      <c r="C6" s="203" t="s">
        <v>588</v>
      </c>
      <c r="D6" s="206">
        <v>4500</v>
      </c>
      <c r="E6" s="307" t="s">
        <v>421</v>
      </c>
      <c r="F6" s="276"/>
    </row>
    <row r="7" spans="1:13" x14ac:dyDescent="0.2">
      <c r="A7" s="275">
        <v>3</v>
      </c>
      <c r="B7" s="203" t="s">
        <v>686</v>
      </c>
      <c r="C7" s="203" t="s">
        <v>588</v>
      </c>
      <c r="D7" s="206">
        <v>4500</v>
      </c>
      <c r="E7" s="307" t="s">
        <v>421</v>
      </c>
      <c r="F7" s="276"/>
    </row>
    <row r="8" spans="1:13" x14ac:dyDescent="0.2">
      <c r="A8" s="275">
        <v>4</v>
      </c>
      <c r="B8" s="203" t="s">
        <v>687</v>
      </c>
      <c r="C8" s="203" t="s">
        <v>688</v>
      </c>
      <c r="D8" s="206">
        <v>350</v>
      </c>
      <c r="E8" s="307" t="s">
        <v>421</v>
      </c>
      <c r="F8" s="276"/>
    </row>
    <row r="9" spans="1:13" x14ac:dyDescent="0.2">
      <c r="A9" s="275">
        <v>5</v>
      </c>
      <c r="B9" s="203" t="s">
        <v>689</v>
      </c>
      <c r="C9" s="203" t="s">
        <v>690</v>
      </c>
      <c r="D9" s="206">
        <v>2900</v>
      </c>
      <c r="E9" s="307"/>
      <c r="F9" s="276"/>
    </row>
    <row r="10" spans="1:13" x14ac:dyDescent="0.2">
      <c r="A10" s="275">
        <v>6</v>
      </c>
      <c r="B10" s="203" t="s">
        <v>603</v>
      </c>
      <c r="C10" s="203"/>
      <c r="D10" s="206">
        <v>3000</v>
      </c>
      <c r="E10" s="307"/>
      <c r="F10" s="276"/>
    </row>
    <row r="11" spans="1:13" x14ac:dyDescent="0.2">
      <c r="A11" s="201" t="s">
        <v>566</v>
      </c>
      <c r="B11" s="223"/>
      <c r="C11" s="223"/>
      <c r="D11" s="308">
        <f>SUM(D5:D10)</f>
        <v>20250</v>
      </c>
      <c r="E11" s="196"/>
      <c r="F11" s="202"/>
    </row>
    <row r="14" spans="1:13" x14ac:dyDescent="0.2">
      <c r="A14" s="198" t="s">
        <v>691</v>
      </c>
      <c r="H14" s="198" t="s">
        <v>1329</v>
      </c>
      <c r="I14" s="194"/>
      <c r="J14" s="194"/>
      <c r="K14" s="204"/>
      <c r="L14" s="194"/>
      <c r="M14" s="194"/>
    </row>
    <row r="15" spans="1:13" x14ac:dyDescent="0.2">
      <c r="A15" s="199" t="s">
        <v>578</v>
      </c>
      <c r="B15" s="200" t="s">
        <v>682</v>
      </c>
      <c r="C15" s="200" t="s">
        <v>580</v>
      </c>
      <c r="D15" s="205" t="s">
        <v>581</v>
      </c>
      <c r="E15" s="195" t="s">
        <v>1</v>
      </c>
      <c r="F15" s="195" t="s">
        <v>582</v>
      </c>
      <c r="H15" s="199" t="s">
        <v>578</v>
      </c>
      <c r="I15" s="200" t="s">
        <v>682</v>
      </c>
      <c r="J15" s="200" t="s">
        <v>580</v>
      </c>
      <c r="K15" s="205" t="s">
        <v>581</v>
      </c>
      <c r="L15" s="195" t="s">
        <v>1</v>
      </c>
      <c r="M15" s="195" t="s">
        <v>582</v>
      </c>
    </row>
    <row r="16" spans="1:13" x14ac:dyDescent="0.2">
      <c r="A16" s="275">
        <v>1</v>
      </c>
      <c r="B16" s="203" t="s">
        <v>417</v>
      </c>
      <c r="C16" s="203" t="s">
        <v>684</v>
      </c>
      <c r="D16" s="206">
        <v>5000</v>
      </c>
      <c r="E16" s="307" t="s">
        <v>415</v>
      </c>
      <c r="F16" s="276"/>
      <c r="H16" s="275">
        <v>1</v>
      </c>
      <c r="I16" s="203" t="s">
        <v>417</v>
      </c>
      <c r="J16" s="203" t="s">
        <v>684</v>
      </c>
      <c r="K16" s="206">
        <v>6000</v>
      </c>
      <c r="L16" s="307" t="s">
        <v>415</v>
      </c>
      <c r="M16" s="276"/>
    </row>
    <row r="17" spans="1:13" x14ac:dyDescent="0.2">
      <c r="A17" s="275">
        <v>2</v>
      </c>
      <c r="B17" s="203" t="s">
        <v>692</v>
      </c>
      <c r="C17" s="203" t="s">
        <v>693</v>
      </c>
      <c r="D17" s="206">
        <v>24000</v>
      </c>
      <c r="E17" s="307" t="s">
        <v>434</v>
      </c>
      <c r="F17" s="276" t="s">
        <v>694</v>
      </c>
      <c r="H17" s="275">
        <v>2</v>
      </c>
      <c r="I17" s="203" t="s">
        <v>692</v>
      </c>
      <c r="J17" s="203" t="s">
        <v>693</v>
      </c>
      <c r="K17" s="206">
        <v>24000</v>
      </c>
      <c r="L17" s="307" t="s">
        <v>434</v>
      </c>
      <c r="M17" s="276" t="s">
        <v>694</v>
      </c>
    </row>
    <row r="18" spans="1:13" x14ac:dyDescent="0.2">
      <c r="A18" s="275">
        <v>3</v>
      </c>
      <c r="B18" s="203" t="s">
        <v>695</v>
      </c>
      <c r="C18" s="203" t="s">
        <v>684</v>
      </c>
      <c r="D18" s="206">
        <v>2000</v>
      </c>
      <c r="E18" s="307" t="s">
        <v>418</v>
      </c>
      <c r="F18" s="276"/>
      <c r="H18" s="275">
        <v>3</v>
      </c>
      <c r="I18" s="203" t="s">
        <v>695</v>
      </c>
      <c r="J18" s="203" t="s">
        <v>684</v>
      </c>
      <c r="K18" s="206">
        <v>2000</v>
      </c>
      <c r="L18" s="307" t="s">
        <v>418</v>
      </c>
      <c r="M18" s="276"/>
    </row>
    <row r="19" spans="1:13" x14ac:dyDescent="0.2">
      <c r="A19" s="275">
        <v>4</v>
      </c>
      <c r="B19" s="203"/>
      <c r="C19" s="203"/>
      <c r="D19" s="206"/>
      <c r="E19" s="307"/>
      <c r="F19" s="276"/>
      <c r="H19" s="275">
        <v>4</v>
      </c>
      <c r="I19" s="220"/>
      <c r="J19" s="203" t="s">
        <v>696</v>
      </c>
      <c r="K19" s="206"/>
      <c r="L19" s="307"/>
      <c r="M19" s="276"/>
    </row>
    <row r="20" spans="1:13" x14ac:dyDescent="0.2">
      <c r="A20" s="275"/>
      <c r="B20" s="203"/>
      <c r="C20" s="203"/>
      <c r="D20" s="206"/>
      <c r="E20" s="307"/>
      <c r="F20" s="276"/>
      <c r="H20" s="275"/>
      <c r="I20" s="203"/>
      <c r="J20" s="203"/>
      <c r="K20" s="206"/>
      <c r="L20" s="307"/>
      <c r="M20" s="276"/>
    </row>
    <row r="21" spans="1:13" x14ac:dyDescent="0.2">
      <c r="A21" s="275"/>
      <c r="B21" s="203"/>
      <c r="C21" s="203"/>
      <c r="D21" s="206"/>
      <c r="E21" s="307"/>
      <c r="F21" s="276"/>
      <c r="H21" s="275"/>
      <c r="I21" s="203"/>
      <c r="J21" s="203"/>
      <c r="K21" s="206"/>
      <c r="L21" s="307"/>
      <c r="M21" s="276"/>
    </row>
    <row r="22" spans="1:13" x14ac:dyDescent="0.2">
      <c r="A22" s="275"/>
      <c r="B22" s="203" t="s">
        <v>603</v>
      </c>
      <c r="C22" s="203" t="s">
        <v>696</v>
      </c>
      <c r="D22" s="206">
        <v>2000</v>
      </c>
      <c r="E22" s="307" t="s">
        <v>418</v>
      </c>
      <c r="F22" s="276"/>
      <c r="H22" s="275"/>
      <c r="I22" s="203" t="s">
        <v>603</v>
      </c>
      <c r="J22" s="203" t="s">
        <v>696</v>
      </c>
      <c r="K22" s="206">
        <v>3500</v>
      </c>
      <c r="L22" s="307" t="s">
        <v>418</v>
      </c>
      <c r="M22" s="276"/>
    </row>
    <row r="23" spans="1:13" x14ac:dyDescent="0.2">
      <c r="A23" s="201" t="s">
        <v>566</v>
      </c>
      <c r="B23" s="223"/>
      <c r="C23" s="223"/>
      <c r="D23" s="308">
        <f>SUM(D16:D22)</f>
        <v>33000</v>
      </c>
      <c r="E23" s="196"/>
      <c r="F23" s="202"/>
      <c r="H23" s="201" t="s">
        <v>566</v>
      </c>
      <c r="I23" s="223"/>
      <c r="J23" s="223"/>
      <c r="K23" s="308">
        <f>SUM(K16:K22)</f>
        <v>35500</v>
      </c>
      <c r="L23" s="196"/>
      <c r="M23" s="202"/>
    </row>
    <row r="24" spans="1:13" x14ac:dyDescent="0.2">
      <c r="H24" s="194"/>
      <c r="I24" s="194"/>
      <c r="J24" s="194"/>
      <c r="K24" s="204"/>
      <c r="L24" s="194"/>
      <c r="M24" s="194"/>
    </row>
    <row r="25" spans="1:13" x14ac:dyDescent="0.2">
      <c r="H25" s="194"/>
      <c r="I25" s="194"/>
      <c r="J25" s="194"/>
      <c r="K25" s="204"/>
      <c r="L25" s="194"/>
      <c r="M25" s="194"/>
    </row>
    <row r="26" spans="1:13" x14ac:dyDescent="0.2">
      <c r="A26" s="198" t="s">
        <v>697</v>
      </c>
      <c r="H26" s="198" t="s">
        <v>1330</v>
      </c>
      <c r="I26" s="194"/>
      <c r="J26" s="194"/>
      <c r="K26" s="204"/>
      <c r="L26" s="194"/>
      <c r="M26" s="194"/>
    </row>
    <row r="27" spans="1:13" x14ac:dyDescent="0.2">
      <c r="A27" s="199" t="s">
        <v>578</v>
      </c>
      <c r="B27" s="200" t="s">
        <v>682</v>
      </c>
      <c r="C27" s="200" t="s">
        <v>580</v>
      </c>
      <c r="D27" s="205" t="s">
        <v>581</v>
      </c>
      <c r="E27" s="195" t="s">
        <v>1</v>
      </c>
      <c r="F27" s="195" t="s">
        <v>582</v>
      </c>
      <c r="H27" s="199" t="s">
        <v>578</v>
      </c>
      <c r="I27" s="200" t="s">
        <v>682</v>
      </c>
      <c r="J27" s="200" t="s">
        <v>580</v>
      </c>
      <c r="K27" s="205" t="s">
        <v>581</v>
      </c>
      <c r="L27" s="195" t="s">
        <v>1</v>
      </c>
      <c r="M27" s="195" t="s">
        <v>582</v>
      </c>
    </row>
    <row r="28" spans="1:13" x14ac:dyDescent="0.2">
      <c r="A28" s="275">
        <v>2</v>
      </c>
      <c r="B28" s="203" t="s">
        <v>685</v>
      </c>
      <c r="C28" s="203" t="s">
        <v>588</v>
      </c>
      <c r="D28" s="206">
        <v>4500</v>
      </c>
      <c r="E28" s="307" t="s">
        <v>421</v>
      </c>
      <c r="F28" s="276"/>
      <c r="H28" s="275">
        <v>2</v>
      </c>
      <c r="I28" s="203" t="s">
        <v>685</v>
      </c>
      <c r="J28" s="203" t="s">
        <v>588</v>
      </c>
      <c r="K28" s="206">
        <v>4500</v>
      </c>
      <c r="L28" s="307" t="s">
        <v>421</v>
      </c>
      <c r="M28" s="276"/>
    </row>
    <row r="29" spans="1:13" x14ac:dyDescent="0.2">
      <c r="A29" s="275">
        <v>3</v>
      </c>
      <c r="B29" s="203" t="s">
        <v>686</v>
      </c>
      <c r="C29" s="203" t="s">
        <v>588</v>
      </c>
      <c r="D29" s="206">
        <v>4500</v>
      </c>
      <c r="E29" s="307" t="s">
        <v>421</v>
      </c>
      <c r="F29" s="276"/>
      <c r="H29" s="275">
        <v>3</v>
      </c>
      <c r="I29" s="203" t="s">
        <v>686</v>
      </c>
      <c r="J29" s="203" t="s">
        <v>588</v>
      </c>
      <c r="K29" s="206">
        <v>4500</v>
      </c>
      <c r="L29" s="307" t="s">
        <v>421</v>
      </c>
      <c r="M29" s="276"/>
    </row>
    <row r="30" spans="1:13" x14ac:dyDescent="0.2">
      <c r="A30" s="275">
        <v>4</v>
      </c>
      <c r="B30" s="203" t="s">
        <v>687</v>
      </c>
      <c r="C30" s="203" t="s">
        <v>688</v>
      </c>
      <c r="D30" s="206">
        <v>350</v>
      </c>
      <c r="E30" s="307" t="s">
        <v>421</v>
      </c>
      <c r="F30" s="276"/>
      <c r="H30" s="275">
        <v>4</v>
      </c>
      <c r="I30" s="203" t="s">
        <v>687</v>
      </c>
      <c r="J30" s="203" t="s">
        <v>688</v>
      </c>
      <c r="K30" s="206">
        <v>350</v>
      </c>
      <c r="L30" s="307" t="s">
        <v>421</v>
      </c>
      <c r="M30" s="276"/>
    </row>
    <row r="31" spans="1:13" x14ac:dyDescent="0.2">
      <c r="A31" s="275">
        <v>5</v>
      </c>
      <c r="B31" s="203" t="s">
        <v>689</v>
      </c>
      <c r="C31" s="203" t="s">
        <v>690</v>
      </c>
      <c r="D31" s="206">
        <v>2900</v>
      </c>
      <c r="E31" s="307"/>
      <c r="F31" s="276"/>
      <c r="H31" s="275">
        <v>5</v>
      </c>
      <c r="I31" s="203" t="s">
        <v>689</v>
      </c>
      <c r="J31" s="203" t="s">
        <v>690</v>
      </c>
      <c r="K31" s="206">
        <v>2900</v>
      </c>
      <c r="L31" s="307"/>
      <c r="M31" s="276"/>
    </row>
    <row r="32" spans="1:13" x14ac:dyDescent="0.2">
      <c r="A32" s="275">
        <v>6</v>
      </c>
      <c r="B32" s="203" t="s">
        <v>698</v>
      </c>
      <c r="C32" s="203" t="s">
        <v>699</v>
      </c>
      <c r="D32" s="206">
        <v>5500</v>
      </c>
      <c r="E32" s="307"/>
      <c r="F32" s="276"/>
      <c r="H32" s="275">
        <v>6</v>
      </c>
      <c r="I32" s="203" t="s">
        <v>698</v>
      </c>
      <c r="J32" s="203" t="s">
        <v>699</v>
      </c>
      <c r="K32" s="895">
        <f>Referatspläne!L4</f>
        <v>72288</v>
      </c>
      <c r="L32" s="307"/>
      <c r="M32" s="276"/>
    </row>
    <row r="33" spans="1:13" x14ac:dyDescent="0.2">
      <c r="A33" s="275">
        <v>7</v>
      </c>
      <c r="B33" s="203" t="s">
        <v>603</v>
      </c>
      <c r="C33" s="203"/>
      <c r="D33" s="206">
        <v>1000</v>
      </c>
      <c r="E33" s="307"/>
      <c r="F33" s="276"/>
      <c r="H33" s="275">
        <v>7</v>
      </c>
      <c r="I33" s="203" t="s">
        <v>603</v>
      </c>
      <c r="J33" s="203"/>
      <c r="K33" s="206">
        <v>1000</v>
      </c>
      <c r="L33" s="307"/>
      <c r="M33" s="276"/>
    </row>
    <row r="34" spans="1:13" x14ac:dyDescent="0.2">
      <c r="A34" s="201" t="s">
        <v>566</v>
      </c>
      <c r="B34" s="223"/>
      <c r="C34" s="223"/>
      <c r="D34" s="309">
        <f>SUM(D28:D33)</f>
        <v>18750</v>
      </c>
      <c r="E34" s="196"/>
      <c r="F34" s="202"/>
      <c r="H34" s="201" t="s">
        <v>566</v>
      </c>
      <c r="I34" s="223"/>
      <c r="J34" s="223"/>
      <c r="K34" s="14">
        <f>SUM(K28:K33)</f>
        <v>85538</v>
      </c>
      <c r="L34" s="196"/>
      <c r="M34" s="202"/>
    </row>
  </sheetData>
  <hyperlinks>
    <hyperlink ref="D34" location="Haushalt!E231" display="Haushalt!E231" xr:uid="{C21F8DD7-A7E6-4A6D-B478-B207BC01F5CC}"/>
  </hyperlinks>
  <pageMargins left="0.7" right="0.7" top="0.78740157499999996" bottom="0.78740157499999996" header="0.3" footer="0.3"/>
  <pageSetup paperSize="9" orientation="portrait" verticalDpi="0"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E7C2E-3B31-43D2-A3D1-74A133BA8E09}">
  <dimension ref="A1:Y293"/>
  <sheetViews>
    <sheetView zoomScale="90" zoomScaleNormal="90" workbookViewId="0">
      <pane ySplit="4" topLeftCell="A97" activePane="bottomLeft" state="frozen"/>
      <selection pane="bottomLeft" activeCell="E147" sqref="E147"/>
    </sheetView>
  </sheetViews>
  <sheetFormatPr baseColWidth="10" defaultColWidth="11.5" defaultRowHeight="15" x14ac:dyDescent="0.2"/>
  <cols>
    <col min="1" max="1" width="10.1640625" style="30" customWidth="1"/>
    <col min="2" max="2" width="38.5" style="30" customWidth="1"/>
    <col min="3" max="3" width="17.33203125" style="557" customWidth="1"/>
    <col min="4" max="4" width="17.33203125" style="558" customWidth="1"/>
    <col min="5" max="5" width="19.5" style="518" customWidth="1"/>
    <col min="6" max="7" width="17.33203125" style="558" customWidth="1"/>
    <col min="8" max="10" width="13.83203125" style="30" customWidth="1"/>
    <col min="11" max="12" width="13.6640625" style="30" customWidth="1"/>
    <col min="13" max="15" width="13.83203125" style="30" customWidth="1"/>
    <col min="16" max="18" width="15.5" style="30" customWidth="1"/>
    <col min="19" max="19" width="15.83203125" style="30" customWidth="1"/>
    <col min="20" max="20" width="16.6640625" style="30" customWidth="1"/>
    <col min="21" max="21" width="14.33203125" style="342" customWidth="1"/>
    <col min="22" max="22" width="18.33203125" style="366" customWidth="1"/>
    <col min="23" max="23" width="15.83203125" style="30" customWidth="1"/>
    <col min="24" max="24" width="13.5" style="30" customWidth="1"/>
    <col min="25" max="25" width="14.5" style="30" customWidth="1"/>
    <col min="26" max="16384" width="11.5" style="30"/>
  </cols>
  <sheetData>
    <row r="1" spans="1:22" x14ac:dyDescent="0.2">
      <c r="A1" s="335"/>
      <c r="B1" s="336"/>
      <c r="C1" s="337" t="s">
        <v>769</v>
      </c>
      <c r="D1" s="338" t="s">
        <v>770</v>
      </c>
      <c r="E1" s="339" t="s">
        <v>769</v>
      </c>
      <c r="F1" s="340" t="s">
        <v>769</v>
      </c>
      <c r="G1" s="340" t="s">
        <v>770</v>
      </c>
      <c r="H1" s="341" t="s">
        <v>769</v>
      </c>
      <c r="I1" s="341" t="s">
        <v>769</v>
      </c>
      <c r="J1" s="341" t="s">
        <v>769</v>
      </c>
      <c r="K1" s="341" t="s">
        <v>769</v>
      </c>
      <c r="L1" s="341" t="s">
        <v>769</v>
      </c>
      <c r="M1" s="341" t="s">
        <v>769</v>
      </c>
      <c r="N1" s="341" t="s">
        <v>769</v>
      </c>
      <c r="O1" s="341" t="s">
        <v>769</v>
      </c>
      <c r="P1" s="341" t="s">
        <v>769</v>
      </c>
      <c r="Q1" s="341" t="s">
        <v>769</v>
      </c>
      <c r="R1" s="341" t="s">
        <v>769</v>
      </c>
      <c r="S1" s="341" t="s">
        <v>769</v>
      </c>
      <c r="T1" s="341" t="s">
        <v>769</v>
      </c>
      <c r="V1" s="343"/>
    </row>
    <row r="2" spans="1:22" x14ac:dyDescent="0.2">
      <c r="A2" s="344"/>
      <c r="C2" s="345" t="s">
        <v>771</v>
      </c>
      <c r="D2" s="346" t="s">
        <v>772</v>
      </c>
      <c r="E2" s="347" t="s">
        <v>771</v>
      </c>
      <c r="F2" s="346" t="s">
        <v>773</v>
      </c>
      <c r="G2" s="346" t="s">
        <v>773</v>
      </c>
      <c r="H2" s="348" t="s">
        <v>773</v>
      </c>
      <c r="I2" s="348" t="s">
        <v>773</v>
      </c>
      <c r="J2" s="348" t="s">
        <v>773</v>
      </c>
      <c r="K2" s="348" t="s">
        <v>773</v>
      </c>
      <c r="L2" s="348" t="s">
        <v>773</v>
      </c>
      <c r="M2" s="348" t="s">
        <v>773</v>
      </c>
      <c r="N2" s="348" t="s">
        <v>773</v>
      </c>
      <c r="O2" s="348" t="s">
        <v>773</v>
      </c>
      <c r="P2" s="348" t="s">
        <v>773</v>
      </c>
      <c r="Q2" s="348" t="s">
        <v>773</v>
      </c>
      <c r="R2" s="348" t="s">
        <v>773</v>
      </c>
      <c r="S2" s="348" t="s">
        <v>773</v>
      </c>
      <c r="T2" s="348" t="s">
        <v>773</v>
      </c>
      <c r="V2" s="343"/>
    </row>
    <row r="3" spans="1:22" x14ac:dyDescent="0.2">
      <c r="A3" s="344" t="s">
        <v>774</v>
      </c>
      <c r="C3" s="345" t="s">
        <v>775</v>
      </c>
      <c r="D3" s="346" t="s">
        <v>775</v>
      </c>
      <c r="E3" s="349" t="s">
        <v>8</v>
      </c>
      <c r="F3" s="346" t="s">
        <v>775</v>
      </c>
      <c r="G3" s="346" t="s">
        <v>775</v>
      </c>
      <c r="H3" s="350" t="s">
        <v>8</v>
      </c>
      <c r="I3" s="350" t="s">
        <v>8</v>
      </c>
      <c r="J3" s="350" t="s">
        <v>8</v>
      </c>
      <c r="K3" s="350" t="s">
        <v>8</v>
      </c>
      <c r="L3" s="350" t="s">
        <v>8</v>
      </c>
      <c r="M3" s="350" t="s">
        <v>8</v>
      </c>
      <c r="N3" s="350" t="s">
        <v>8</v>
      </c>
      <c r="O3" s="350" t="s">
        <v>8</v>
      </c>
      <c r="P3" s="350" t="s">
        <v>8</v>
      </c>
      <c r="Q3" s="350" t="s">
        <v>8</v>
      </c>
      <c r="R3" s="350" t="s">
        <v>8</v>
      </c>
      <c r="S3" s="350" t="s">
        <v>8</v>
      </c>
      <c r="T3" s="350" t="s">
        <v>8</v>
      </c>
      <c r="V3" s="343"/>
    </row>
    <row r="4" spans="1:22" ht="25.25" customHeight="1" thickBot="1" x14ac:dyDescent="0.25">
      <c r="A4" s="351" t="s">
        <v>776</v>
      </c>
      <c r="B4" s="352" t="s">
        <v>777</v>
      </c>
      <c r="C4" s="353" t="s">
        <v>778</v>
      </c>
      <c r="D4" s="354" t="s">
        <v>779</v>
      </c>
      <c r="E4" s="355">
        <v>44469</v>
      </c>
      <c r="F4" s="356" t="s">
        <v>780</v>
      </c>
      <c r="G4" s="356"/>
      <c r="H4" s="357">
        <v>44500</v>
      </c>
      <c r="I4" s="357">
        <v>44530</v>
      </c>
      <c r="J4" s="357">
        <v>44561</v>
      </c>
      <c r="K4" s="357">
        <v>44592</v>
      </c>
      <c r="L4" s="357">
        <v>44620</v>
      </c>
      <c r="M4" s="357">
        <v>44643</v>
      </c>
      <c r="N4" s="357">
        <v>44651</v>
      </c>
      <c r="O4" s="357">
        <v>44681</v>
      </c>
      <c r="P4" s="357">
        <v>44712</v>
      </c>
      <c r="Q4" s="357">
        <v>44742</v>
      </c>
      <c r="R4" s="357">
        <v>44773</v>
      </c>
      <c r="S4" s="357">
        <v>44804</v>
      </c>
      <c r="T4" s="357" t="s">
        <v>781</v>
      </c>
      <c r="V4" s="343"/>
    </row>
    <row r="5" spans="1:22" s="367" customFormat="1" x14ac:dyDescent="0.2">
      <c r="A5" s="358" t="s">
        <v>708</v>
      </c>
      <c r="B5" s="359"/>
      <c r="C5" s="360"/>
      <c r="D5" s="361"/>
      <c r="E5" s="362"/>
      <c r="F5" s="363"/>
      <c r="G5" s="363"/>
      <c r="H5" s="364"/>
      <c r="I5" s="364"/>
      <c r="J5" s="364"/>
      <c r="K5" s="364"/>
      <c r="L5" s="364"/>
      <c r="M5" s="364"/>
      <c r="N5" s="364"/>
      <c r="O5" s="364"/>
      <c r="P5" s="364"/>
      <c r="Q5" s="364"/>
      <c r="R5" s="364"/>
      <c r="S5" s="364"/>
      <c r="T5" s="364"/>
      <c r="U5" s="365"/>
      <c r="V5" s="366"/>
    </row>
    <row r="6" spans="1:22" s="367" customFormat="1" x14ac:dyDescent="0.2">
      <c r="A6" s="368" t="s">
        <v>782</v>
      </c>
      <c r="B6" s="359" t="s">
        <v>20</v>
      </c>
      <c r="C6" s="369"/>
      <c r="D6" s="363"/>
      <c r="E6" s="370"/>
      <c r="F6" s="363"/>
      <c r="G6" s="363"/>
      <c r="H6" s="364"/>
      <c r="I6" s="364"/>
      <c r="J6" s="364"/>
      <c r="K6" s="364"/>
      <c r="L6" s="364"/>
      <c r="M6" s="364"/>
      <c r="N6" s="364"/>
      <c r="O6" s="364"/>
      <c r="P6" s="364"/>
      <c r="Q6" s="364"/>
      <c r="R6" s="364"/>
      <c r="S6" s="364"/>
      <c r="T6" s="371"/>
      <c r="U6" s="365"/>
      <c r="V6" s="366"/>
    </row>
    <row r="7" spans="1:22" s="367" customFormat="1" x14ac:dyDescent="0.2">
      <c r="A7" s="372" t="s">
        <v>783</v>
      </c>
      <c r="B7" s="373" t="s">
        <v>784</v>
      </c>
      <c r="C7" s="374">
        <v>0</v>
      </c>
      <c r="D7" s="375">
        <v>0</v>
      </c>
      <c r="E7" s="376">
        <v>5</v>
      </c>
      <c r="F7" s="375">
        <v>0</v>
      </c>
      <c r="G7" s="375"/>
      <c r="H7" s="377">
        <v>0</v>
      </c>
      <c r="I7" s="377">
        <v>0</v>
      </c>
      <c r="J7" s="377">
        <v>0</v>
      </c>
      <c r="K7" s="377">
        <v>0</v>
      </c>
      <c r="L7" s="377">
        <v>0</v>
      </c>
      <c r="M7" s="377">
        <v>0</v>
      </c>
      <c r="N7" s="377">
        <v>0</v>
      </c>
      <c r="O7" s="377">
        <v>0</v>
      </c>
      <c r="P7" s="377">
        <v>0</v>
      </c>
      <c r="Q7" s="377">
        <v>0</v>
      </c>
      <c r="R7" s="377">
        <v>0</v>
      </c>
      <c r="S7" s="377"/>
      <c r="T7" s="627">
        <v>0</v>
      </c>
      <c r="U7" s="365"/>
      <c r="V7" s="366"/>
    </row>
    <row r="8" spans="1:22" s="367" customFormat="1" x14ac:dyDescent="0.2">
      <c r="A8" s="372" t="s">
        <v>30</v>
      </c>
      <c r="B8" s="373" t="s">
        <v>785</v>
      </c>
      <c r="C8" s="374">
        <v>0</v>
      </c>
      <c r="D8" s="375">
        <v>0</v>
      </c>
      <c r="E8" s="376">
        <v>0</v>
      </c>
      <c r="F8" s="375">
        <v>0</v>
      </c>
      <c r="G8" s="375"/>
      <c r="H8" s="377">
        <v>0</v>
      </c>
      <c r="I8" s="377">
        <v>0</v>
      </c>
      <c r="J8" s="377">
        <v>0</v>
      </c>
      <c r="K8" s="377">
        <v>0</v>
      </c>
      <c r="L8" s="377">
        <v>0</v>
      </c>
      <c r="M8" s="377">
        <v>0</v>
      </c>
      <c r="N8" s="377">
        <v>0</v>
      </c>
      <c r="O8" s="377">
        <v>0</v>
      </c>
      <c r="P8" s="377">
        <v>0</v>
      </c>
      <c r="Q8" s="377">
        <v>0</v>
      </c>
      <c r="R8" s="377">
        <v>0</v>
      </c>
      <c r="S8" s="377"/>
      <c r="T8" s="627">
        <v>0</v>
      </c>
      <c r="U8" s="365"/>
      <c r="V8" s="366"/>
    </row>
    <row r="9" spans="1:22" x14ac:dyDescent="0.2">
      <c r="A9" s="378" t="s">
        <v>786</v>
      </c>
      <c r="B9" s="379" t="s">
        <v>787</v>
      </c>
      <c r="C9" s="380">
        <v>5000</v>
      </c>
      <c r="D9" s="381">
        <v>2000</v>
      </c>
      <c r="E9" s="382">
        <v>2630</v>
      </c>
      <c r="F9" s="381">
        <v>5000</v>
      </c>
      <c r="G9" s="381"/>
      <c r="H9" s="383">
        <v>0</v>
      </c>
      <c r="I9" s="383">
        <v>0</v>
      </c>
      <c r="J9" s="383">
        <v>0</v>
      </c>
      <c r="K9" s="383">
        <v>0</v>
      </c>
      <c r="L9" s="383">
        <v>0</v>
      </c>
      <c r="M9" s="383">
        <v>0</v>
      </c>
      <c r="N9" s="383">
        <v>0</v>
      </c>
      <c r="O9" s="383">
        <v>0</v>
      </c>
      <c r="P9" s="383">
        <v>1080</v>
      </c>
      <c r="Q9" s="383">
        <v>1955</v>
      </c>
      <c r="R9" s="383">
        <v>4640</v>
      </c>
      <c r="S9" s="384"/>
      <c r="T9" s="628">
        <v>6205</v>
      </c>
    </row>
    <row r="10" spans="1:22" x14ac:dyDescent="0.2">
      <c r="A10" s="378" t="s">
        <v>788</v>
      </c>
      <c r="B10" s="379" t="s">
        <v>789</v>
      </c>
      <c r="C10" s="380">
        <v>0</v>
      </c>
      <c r="D10" s="381">
        <v>0</v>
      </c>
      <c r="E10" s="386">
        <v>0</v>
      </c>
      <c r="F10" s="381">
        <v>1000</v>
      </c>
      <c r="G10" s="381"/>
      <c r="H10" s="383">
        <v>0</v>
      </c>
      <c r="I10" s="383">
        <v>0</v>
      </c>
      <c r="J10" s="383">
        <v>0</v>
      </c>
      <c r="K10" s="383">
        <v>0</v>
      </c>
      <c r="L10" s="383">
        <v>0</v>
      </c>
      <c r="M10" s="383">
        <v>0</v>
      </c>
      <c r="N10" s="383">
        <v>0</v>
      </c>
      <c r="O10" s="383">
        <v>0</v>
      </c>
      <c r="P10" s="383">
        <v>0</v>
      </c>
      <c r="Q10" s="383">
        <v>0</v>
      </c>
      <c r="R10" s="383">
        <v>0</v>
      </c>
      <c r="S10" s="385"/>
      <c r="T10" s="629">
        <v>0</v>
      </c>
    </row>
    <row r="11" spans="1:22" x14ac:dyDescent="0.2">
      <c r="A11" s="387" t="s">
        <v>790</v>
      </c>
      <c r="B11" s="388" t="s">
        <v>791</v>
      </c>
      <c r="C11" s="389"/>
      <c r="D11" s="390"/>
      <c r="E11" s="391"/>
      <c r="F11" s="390"/>
      <c r="G11" s="390"/>
      <c r="H11" s="392"/>
      <c r="I11" s="392"/>
      <c r="J11" s="392"/>
      <c r="K11" s="392"/>
      <c r="L11" s="392"/>
      <c r="M11" s="392"/>
      <c r="N11" s="392"/>
      <c r="O11" s="392"/>
      <c r="P11" s="392"/>
      <c r="Q11" s="392"/>
      <c r="R11" s="392"/>
      <c r="S11" s="393"/>
      <c r="T11" s="630"/>
    </row>
    <row r="12" spans="1:22" x14ac:dyDescent="0.2">
      <c r="A12" s="378" t="s">
        <v>34</v>
      </c>
      <c r="B12" s="379" t="s">
        <v>792</v>
      </c>
      <c r="C12" s="380">
        <v>15000</v>
      </c>
      <c r="D12" s="381">
        <v>22000</v>
      </c>
      <c r="E12" s="394">
        <v>21885</v>
      </c>
      <c r="F12" s="381">
        <v>23000</v>
      </c>
      <c r="G12" s="381"/>
      <c r="H12" s="395">
        <v>630</v>
      </c>
      <c r="I12" s="395">
        <v>1665</v>
      </c>
      <c r="J12" s="395">
        <v>3825</v>
      </c>
      <c r="K12" s="395">
        <v>12735</v>
      </c>
      <c r="L12" s="395">
        <v>18945</v>
      </c>
      <c r="M12" s="395">
        <v>19500</v>
      </c>
      <c r="N12" s="395">
        <v>19635</v>
      </c>
      <c r="O12" s="395">
        <v>19725</v>
      </c>
      <c r="P12" s="395">
        <v>21795</v>
      </c>
      <c r="Q12" s="395">
        <v>26070</v>
      </c>
      <c r="R12" s="396">
        <v>31015</v>
      </c>
      <c r="S12" s="397"/>
      <c r="T12" s="628">
        <v>37605</v>
      </c>
    </row>
    <row r="13" spans="1:22" x14ac:dyDescent="0.2">
      <c r="A13" s="378" t="s">
        <v>37</v>
      </c>
      <c r="B13" s="379" t="s">
        <v>793</v>
      </c>
      <c r="C13" s="380">
        <v>1500</v>
      </c>
      <c r="D13" s="381">
        <v>1500</v>
      </c>
      <c r="E13" s="394">
        <v>374</v>
      </c>
      <c r="F13" s="381">
        <v>1500</v>
      </c>
      <c r="G13" s="381"/>
      <c r="H13" s="395">
        <v>0</v>
      </c>
      <c r="I13" s="395">
        <v>0</v>
      </c>
      <c r="J13" s="395">
        <v>0</v>
      </c>
      <c r="K13" s="395">
        <v>0</v>
      </c>
      <c r="L13" s="395">
        <v>0</v>
      </c>
      <c r="M13" s="395">
        <v>0</v>
      </c>
      <c r="N13" s="395">
        <v>0</v>
      </c>
      <c r="O13" s="395">
        <v>0</v>
      </c>
      <c r="P13" s="395">
        <v>0</v>
      </c>
      <c r="Q13" s="395">
        <v>0</v>
      </c>
      <c r="R13" s="395">
        <v>20</v>
      </c>
      <c r="S13" s="397"/>
      <c r="T13" s="631">
        <v>318</v>
      </c>
    </row>
    <row r="14" spans="1:22" x14ac:dyDescent="0.2">
      <c r="A14" s="378" t="s">
        <v>40</v>
      </c>
      <c r="B14" s="379" t="s">
        <v>794</v>
      </c>
      <c r="C14" s="380">
        <v>4500</v>
      </c>
      <c r="D14" s="381">
        <v>4500</v>
      </c>
      <c r="E14" s="394">
        <v>3030</v>
      </c>
      <c r="F14" s="381">
        <v>4500</v>
      </c>
      <c r="G14" s="381"/>
      <c r="H14" s="395">
        <v>330</v>
      </c>
      <c r="I14" s="395">
        <v>450</v>
      </c>
      <c r="J14" s="395">
        <v>420</v>
      </c>
      <c r="K14" s="395">
        <v>810</v>
      </c>
      <c r="L14" s="395">
        <v>1170</v>
      </c>
      <c r="M14" s="395">
        <v>1200</v>
      </c>
      <c r="N14" s="395">
        <v>1320</v>
      </c>
      <c r="O14" s="395">
        <v>1770</v>
      </c>
      <c r="P14" s="395">
        <v>1860</v>
      </c>
      <c r="Q14" s="395">
        <v>2220</v>
      </c>
      <c r="R14" s="395">
        <v>2490</v>
      </c>
      <c r="S14" s="397"/>
      <c r="T14" s="631">
        <v>2550</v>
      </c>
    </row>
    <row r="15" spans="1:22" x14ac:dyDescent="0.2">
      <c r="A15" s="378" t="s">
        <v>77</v>
      </c>
      <c r="B15" s="379" t="s">
        <v>795</v>
      </c>
      <c r="C15" s="380">
        <v>16000</v>
      </c>
      <c r="D15" s="381">
        <v>30000</v>
      </c>
      <c r="E15" s="382">
        <v>32235</v>
      </c>
      <c r="F15" s="381">
        <v>32000</v>
      </c>
      <c r="G15" s="381"/>
      <c r="H15" s="395">
        <v>50</v>
      </c>
      <c r="I15" s="395">
        <v>1700</v>
      </c>
      <c r="J15" s="395">
        <v>6110</v>
      </c>
      <c r="K15" s="395">
        <v>15060</v>
      </c>
      <c r="L15" s="395">
        <v>18585</v>
      </c>
      <c r="M15" s="395">
        <v>18285</v>
      </c>
      <c r="N15" s="395">
        <v>18285</v>
      </c>
      <c r="O15" s="395">
        <v>19135</v>
      </c>
      <c r="P15" s="395">
        <v>19885</v>
      </c>
      <c r="Q15" s="395">
        <v>21105</v>
      </c>
      <c r="R15" s="395">
        <v>22795</v>
      </c>
      <c r="S15" s="384"/>
      <c r="T15" s="631">
        <v>24965</v>
      </c>
    </row>
    <row r="16" spans="1:22" x14ac:dyDescent="0.2">
      <c r="A16" s="372" t="s">
        <v>796</v>
      </c>
      <c r="B16" s="373" t="s">
        <v>797</v>
      </c>
      <c r="C16" s="380">
        <v>0</v>
      </c>
      <c r="D16" s="381">
        <v>0</v>
      </c>
      <c r="E16" s="394">
        <v>0</v>
      </c>
      <c r="F16" s="381">
        <v>0</v>
      </c>
      <c r="G16" s="381"/>
      <c r="H16" s="395">
        <v>0</v>
      </c>
      <c r="I16" s="395">
        <v>0</v>
      </c>
      <c r="J16" s="395">
        <v>0</v>
      </c>
      <c r="K16" s="395">
        <v>0</v>
      </c>
      <c r="L16" s="395">
        <v>0</v>
      </c>
      <c r="M16" s="395">
        <v>0</v>
      </c>
      <c r="N16" s="395">
        <v>0</v>
      </c>
      <c r="O16" s="395">
        <v>0</v>
      </c>
      <c r="P16" s="395">
        <v>0</v>
      </c>
      <c r="Q16" s="395">
        <v>0</v>
      </c>
      <c r="R16" s="395">
        <v>0</v>
      </c>
      <c r="S16" s="397"/>
      <c r="T16" s="631">
        <v>0</v>
      </c>
    </row>
    <row r="17" spans="1:22" x14ac:dyDescent="0.2">
      <c r="A17" s="378" t="s">
        <v>74</v>
      </c>
      <c r="B17" s="379" t="s">
        <v>798</v>
      </c>
      <c r="C17" s="380">
        <v>12000</v>
      </c>
      <c r="D17" s="381">
        <v>18000</v>
      </c>
      <c r="E17" s="382">
        <v>21540.5</v>
      </c>
      <c r="F17" s="381">
        <v>24000</v>
      </c>
      <c r="G17" s="381"/>
      <c r="H17" s="395">
        <v>1710</v>
      </c>
      <c r="I17" s="395">
        <v>4956</v>
      </c>
      <c r="J17" s="395">
        <v>5296</v>
      </c>
      <c r="K17" s="395">
        <v>9220</v>
      </c>
      <c r="L17" s="395">
        <v>11895</v>
      </c>
      <c r="M17" s="395">
        <v>11895</v>
      </c>
      <c r="N17" s="395">
        <v>11895</v>
      </c>
      <c r="O17" s="395">
        <v>12480</v>
      </c>
      <c r="P17" s="395">
        <v>15336</v>
      </c>
      <c r="Q17" s="395">
        <v>19185</v>
      </c>
      <c r="R17" s="395">
        <v>22436</v>
      </c>
      <c r="S17" s="384"/>
      <c r="T17" s="631">
        <v>23964</v>
      </c>
    </row>
    <row r="18" spans="1:22" x14ac:dyDescent="0.2">
      <c r="A18" s="378" t="s">
        <v>799</v>
      </c>
      <c r="B18" s="379" t="s">
        <v>800</v>
      </c>
      <c r="C18" s="380">
        <v>5000</v>
      </c>
      <c r="D18" s="381">
        <v>0</v>
      </c>
      <c r="E18" s="398">
        <v>-20</v>
      </c>
      <c r="F18" s="381">
        <v>2500</v>
      </c>
      <c r="G18" s="381"/>
      <c r="H18" s="395">
        <v>0</v>
      </c>
      <c r="I18" s="395">
        <v>0</v>
      </c>
      <c r="J18" s="395">
        <v>0</v>
      </c>
      <c r="K18" s="395">
        <v>0</v>
      </c>
      <c r="L18" s="395">
        <v>0</v>
      </c>
      <c r="M18" s="395">
        <v>0</v>
      </c>
      <c r="N18" s="395">
        <v>0</v>
      </c>
      <c r="O18" s="395">
        <v>0</v>
      </c>
      <c r="P18" s="395">
        <v>0</v>
      </c>
      <c r="Q18" s="395">
        <v>0</v>
      </c>
      <c r="R18" s="395">
        <v>0</v>
      </c>
      <c r="S18" s="397"/>
      <c r="T18" s="631">
        <v>0</v>
      </c>
    </row>
    <row r="19" spans="1:22" x14ac:dyDescent="0.2">
      <c r="A19" s="378" t="s">
        <v>801</v>
      </c>
      <c r="B19" s="379" t="s">
        <v>802</v>
      </c>
      <c r="C19" s="380">
        <v>2000</v>
      </c>
      <c r="D19" s="381">
        <v>-10000</v>
      </c>
      <c r="E19" s="394">
        <v>-9353.7000000000007</v>
      </c>
      <c r="F19" s="381">
        <v>14500</v>
      </c>
      <c r="G19" s="381"/>
      <c r="H19" s="395">
        <v>0</v>
      </c>
      <c r="I19" s="395">
        <v>0</v>
      </c>
      <c r="J19" s="395">
        <v>0</v>
      </c>
      <c r="K19" s="395">
        <v>0</v>
      </c>
      <c r="L19" s="395">
        <v>0</v>
      </c>
      <c r="M19" s="395">
        <v>0</v>
      </c>
      <c r="N19" s="395">
        <v>0</v>
      </c>
      <c r="O19" s="395">
        <v>0</v>
      </c>
      <c r="P19" s="395">
        <v>0</v>
      </c>
      <c r="Q19" s="395">
        <v>0</v>
      </c>
      <c r="R19" s="395">
        <v>0</v>
      </c>
      <c r="S19" s="397"/>
      <c r="T19" s="631">
        <v>0</v>
      </c>
    </row>
    <row r="20" spans="1:22" x14ac:dyDescent="0.2">
      <c r="A20" s="378" t="s">
        <v>803</v>
      </c>
      <c r="B20" s="379" t="s">
        <v>804</v>
      </c>
      <c r="C20" s="380">
        <v>3000</v>
      </c>
      <c r="D20" s="381">
        <v>-2000</v>
      </c>
      <c r="E20" s="394">
        <v>-1917.83</v>
      </c>
      <c r="F20" s="381">
        <v>10000</v>
      </c>
      <c r="G20" s="381"/>
      <c r="H20" s="395">
        <v>0</v>
      </c>
      <c r="I20" s="395">
        <v>0</v>
      </c>
      <c r="J20" s="395">
        <v>0</v>
      </c>
      <c r="K20" s="395">
        <v>0</v>
      </c>
      <c r="L20" s="395">
        <v>0</v>
      </c>
      <c r="M20" s="395">
        <v>0</v>
      </c>
      <c r="N20" s="395">
        <v>0</v>
      </c>
      <c r="O20" s="395">
        <v>0</v>
      </c>
      <c r="P20" s="395">
        <v>0</v>
      </c>
      <c r="Q20" s="395">
        <v>0</v>
      </c>
      <c r="R20" s="395">
        <v>0</v>
      </c>
      <c r="S20" s="397"/>
      <c r="T20" s="631">
        <v>0</v>
      </c>
    </row>
    <row r="21" spans="1:22" x14ac:dyDescent="0.2">
      <c r="A21" s="399" t="s">
        <v>27</v>
      </c>
      <c r="B21" s="400" t="s">
        <v>805</v>
      </c>
      <c r="C21" s="380">
        <v>0</v>
      </c>
      <c r="D21" s="381">
        <v>0</v>
      </c>
      <c r="E21" s="394">
        <v>0</v>
      </c>
      <c r="F21" s="381">
        <v>0</v>
      </c>
      <c r="G21" s="381"/>
      <c r="H21" s="395">
        <v>0</v>
      </c>
      <c r="I21" s="395">
        <v>0</v>
      </c>
      <c r="J21" s="395">
        <v>0</v>
      </c>
      <c r="K21" s="395">
        <v>0</v>
      </c>
      <c r="L21" s="395">
        <v>0</v>
      </c>
      <c r="M21" s="395">
        <v>0</v>
      </c>
      <c r="N21" s="395">
        <v>0</v>
      </c>
      <c r="O21" s="395">
        <v>0</v>
      </c>
      <c r="P21" s="395">
        <v>0</v>
      </c>
      <c r="Q21" s="395">
        <v>0</v>
      </c>
      <c r="R21" s="395">
        <v>0</v>
      </c>
      <c r="S21" s="397"/>
      <c r="T21" s="631">
        <v>0</v>
      </c>
    </row>
    <row r="22" spans="1:22" x14ac:dyDescent="0.2">
      <c r="A22" s="401" t="s">
        <v>59</v>
      </c>
      <c r="B22" s="402" t="s">
        <v>806</v>
      </c>
      <c r="C22" s="380">
        <v>8000</v>
      </c>
      <c r="D22" s="381">
        <v>8000</v>
      </c>
      <c r="E22" s="394">
        <v>6296</v>
      </c>
      <c r="F22" s="381">
        <v>7000</v>
      </c>
      <c r="G22" s="381"/>
      <c r="H22" s="395">
        <v>635</v>
      </c>
      <c r="I22" s="395">
        <v>1292</v>
      </c>
      <c r="J22" s="395">
        <v>2037</v>
      </c>
      <c r="K22" s="395">
        <v>2490</v>
      </c>
      <c r="L22" s="395">
        <v>3020</v>
      </c>
      <c r="M22" s="395">
        <v>3455</v>
      </c>
      <c r="N22" s="395">
        <v>3499.8</v>
      </c>
      <c r="O22" s="395">
        <v>4341.55</v>
      </c>
      <c r="P22" s="395">
        <v>5027.55</v>
      </c>
      <c r="Q22" s="395">
        <v>5399.55</v>
      </c>
      <c r="R22" s="395">
        <v>5621.55</v>
      </c>
      <c r="S22" s="397"/>
      <c r="T22" s="631">
        <v>6229.55</v>
      </c>
    </row>
    <row r="23" spans="1:22" x14ac:dyDescent="0.2">
      <c r="A23" s="403"/>
      <c r="B23" s="404" t="s">
        <v>807</v>
      </c>
      <c r="C23" s="405">
        <f t="shared" ref="C23" si="0">SUM(C7:C22)</f>
        <v>72000</v>
      </c>
      <c r="D23" s="406">
        <f>SUM(D7:D22)</f>
        <v>74000</v>
      </c>
      <c r="E23" s="407">
        <f t="shared" ref="E23:S23" si="1">SUM(E7:E22)</f>
        <v>76703.97</v>
      </c>
      <c r="F23" s="406">
        <f t="shared" si="1"/>
        <v>125000</v>
      </c>
      <c r="G23" s="406">
        <f>SUM(G7:G22)</f>
        <v>0</v>
      </c>
      <c r="H23" s="408">
        <f t="shared" si="1"/>
        <v>3355</v>
      </c>
      <c r="I23" s="408">
        <f t="shared" si="1"/>
        <v>10063</v>
      </c>
      <c r="J23" s="408">
        <f t="shared" si="1"/>
        <v>17688</v>
      </c>
      <c r="K23" s="408">
        <f t="shared" si="1"/>
        <v>40315</v>
      </c>
      <c r="L23" s="408">
        <f t="shared" si="1"/>
        <v>53615</v>
      </c>
      <c r="M23" s="408">
        <f t="shared" si="1"/>
        <v>54335</v>
      </c>
      <c r="N23" s="408">
        <f t="shared" si="1"/>
        <v>54634.8</v>
      </c>
      <c r="O23" s="408">
        <f t="shared" si="1"/>
        <v>57451.55</v>
      </c>
      <c r="P23" s="408">
        <f t="shared" si="1"/>
        <v>64983.55</v>
      </c>
      <c r="Q23" s="408">
        <f t="shared" si="1"/>
        <v>75934.55</v>
      </c>
      <c r="R23" s="408">
        <f t="shared" si="1"/>
        <v>89017.55</v>
      </c>
      <c r="S23" s="408">
        <f t="shared" si="1"/>
        <v>0</v>
      </c>
      <c r="T23" s="632">
        <f t="shared" ref="T23" si="2">SUM(T7:T22)</f>
        <v>101836.55</v>
      </c>
    </row>
    <row r="24" spans="1:22" x14ac:dyDescent="0.2">
      <c r="A24" s="378" t="s">
        <v>808</v>
      </c>
      <c r="B24" s="379" t="s">
        <v>14</v>
      </c>
      <c r="C24" s="409">
        <v>1221000</v>
      </c>
      <c r="D24" s="410">
        <v>1180000</v>
      </c>
      <c r="E24" s="411">
        <v>1136728.4099999999</v>
      </c>
      <c r="F24" s="410">
        <v>560000</v>
      </c>
      <c r="G24" s="410"/>
      <c r="H24" s="395">
        <v>764.98</v>
      </c>
      <c r="I24" s="395">
        <v>1196.1500000000001</v>
      </c>
      <c r="J24" s="395">
        <v>2802.21</v>
      </c>
      <c r="K24" s="412">
        <v>2901.21</v>
      </c>
      <c r="L24" s="412">
        <v>3865.46</v>
      </c>
      <c r="M24" s="413">
        <v>25924.46</v>
      </c>
      <c r="N24" s="413">
        <v>25924.46</v>
      </c>
      <c r="O24" s="412">
        <v>278895.26</v>
      </c>
      <c r="P24" s="413">
        <v>490566.36</v>
      </c>
      <c r="Q24" s="413">
        <v>531850.54</v>
      </c>
      <c r="R24" s="412">
        <v>540330.5</v>
      </c>
      <c r="S24" s="412"/>
      <c r="T24" s="633">
        <v>578722.64</v>
      </c>
    </row>
    <row r="25" spans="1:22" x14ac:dyDescent="0.2">
      <c r="A25" s="378" t="s">
        <v>97</v>
      </c>
      <c r="B25" s="379" t="s">
        <v>809</v>
      </c>
      <c r="C25" s="414">
        <v>0</v>
      </c>
      <c r="D25" s="415">
        <v>0</v>
      </c>
      <c r="E25" s="416">
        <v>0</v>
      </c>
      <c r="F25" s="415">
        <v>0</v>
      </c>
      <c r="G25" s="415"/>
      <c r="H25" s="395">
        <v>0</v>
      </c>
      <c r="I25" s="395">
        <v>0</v>
      </c>
      <c r="J25" s="395">
        <v>0</v>
      </c>
      <c r="K25" s="395">
        <v>0</v>
      </c>
      <c r="L25" s="395">
        <v>0</v>
      </c>
      <c r="M25" s="395">
        <v>0</v>
      </c>
      <c r="N25" s="395">
        <v>0</v>
      </c>
      <c r="O25" s="395">
        <v>0</v>
      </c>
      <c r="P25" s="395">
        <v>0</v>
      </c>
      <c r="Q25" s="395">
        <v>0</v>
      </c>
      <c r="R25" s="395">
        <v>0</v>
      </c>
      <c r="S25" s="395"/>
      <c r="T25" s="634">
        <v>0</v>
      </c>
    </row>
    <row r="26" spans="1:22" x14ac:dyDescent="0.2">
      <c r="A26" s="378" t="s">
        <v>102</v>
      </c>
      <c r="B26" s="379" t="s">
        <v>810</v>
      </c>
      <c r="C26" s="414">
        <v>0</v>
      </c>
      <c r="D26" s="415">
        <v>0</v>
      </c>
      <c r="E26" s="416">
        <v>0</v>
      </c>
      <c r="F26" s="415">
        <v>195000</v>
      </c>
      <c r="G26" s="415"/>
      <c r="H26" s="395">
        <v>0</v>
      </c>
      <c r="I26" s="395">
        <v>0</v>
      </c>
      <c r="J26" s="395">
        <v>0</v>
      </c>
      <c r="K26" s="395">
        <v>0</v>
      </c>
      <c r="L26" s="395">
        <v>0</v>
      </c>
      <c r="M26" s="395">
        <v>0</v>
      </c>
      <c r="N26" s="395">
        <v>0</v>
      </c>
      <c r="O26" s="395">
        <v>0</v>
      </c>
      <c r="P26" s="395">
        <v>0</v>
      </c>
      <c r="Q26" s="395">
        <v>0</v>
      </c>
      <c r="R26" s="395">
        <v>0</v>
      </c>
      <c r="S26" s="395"/>
      <c r="T26" s="634">
        <v>195000</v>
      </c>
    </row>
    <row r="27" spans="1:22" x14ac:dyDescent="0.2">
      <c r="A27" s="378" t="s">
        <v>106</v>
      </c>
      <c r="B27" s="379" t="s">
        <v>811</v>
      </c>
      <c r="C27" s="417">
        <v>800000</v>
      </c>
      <c r="D27" s="418">
        <v>800000</v>
      </c>
      <c r="E27" s="419">
        <v>807186.09</v>
      </c>
      <c r="F27" s="418">
        <v>600000</v>
      </c>
      <c r="G27" s="418"/>
      <c r="H27" s="412">
        <v>625360.34</v>
      </c>
      <c r="I27" s="412">
        <v>625360.34</v>
      </c>
      <c r="J27" s="412">
        <v>625360.34</v>
      </c>
      <c r="K27" s="412">
        <v>625360.34</v>
      </c>
      <c r="L27" s="412">
        <v>625360.34</v>
      </c>
      <c r="M27" s="412">
        <v>625360.34</v>
      </c>
      <c r="N27" s="412">
        <v>625360.34</v>
      </c>
      <c r="O27" s="412">
        <v>625360.34</v>
      </c>
      <c r="P27" s="412">
        <v>625360.34</v>
      </c>
      <c r="Q27" s="412">
        <v>625360.34</v>
      </c>
      <c r="R27" s="412">
        <v>625360.34</v>
      </c>
      <c r="S27" s="412"/>
      <c r="T27" s="635">
        <v>625360.34</v>
      </c>
    </row>
    <row r="28" spans="1:22" x14ac:dyDescent="0.2">
      <c r="A28" s="403"/>
      <c r="B28" s="404" t="s">
        <v>812</v>
      </c>
      <c r="C28" s="405">
        <f t="shared" ref="C28:S28" si="3">SUM(C24:C27)</f>
        <v>2021000</v>
      </c>
      <c r="D28" s="406">
        <f t="shared" si="3"/>
        <v>1980000</v>
      </c>
      <c r="E28" s="407">
        <f t="shared" si="3"/>
        <v>1943914.5</v>
      </c>
      <c r="F28" s="406">
        <f t="shared" si="3"/>
        <v>1355000</v>
      </c>
      <c r="G28" s="406">
        <f t="shared" si="3"/>
        <v>0</v>
      </c>
      <c r="H28" s="420">
        <f t="shared" si="3"/>
        <v>626125.31999999995</v>
      </c>
      <c r="I28" s="420">
        <f t="shared" si="3"/>
        <v>626556.49</v>
      </c>
      <c r="J28" s="420">
        <f t="shared" si="3"/>
        <v>628162.54999999993</v>
      </c>
      <c r="K28" s="420">
        <f t="shared" si="3"/>
        <v>628261.54999999993</v>
      </c>
      <c r="L28" s="421">
        <f t="shared" si="3"/>
        <v>629225.79999999993</v>
      </c>
      <c r="M28" s="421">
        <f t="shared" si="3"/>
        <v>651284.79999999993</v>
      </c>
      <c r="N28" s="421">
        <f t="shared" si="3"/>
        <v>651284.79999999993</v>
      </c>
      <c r="O28" s="420">
        <f t="shared" si="3"/>
        <v>904255.6</v>
      </c>
      <c r="P28" s="422">
        <f t="shared" si="3"/>
        <v>1115926.7</v>
      </c>
      <c r="Q28" s="422">
        <f t="shared" si="3"/>
        <v>1157210.8799999999</v>
      </c>
      <c r="R28" s="422">
        <f t="shared" si="3"/>
        <v>1165690.8399999999</v>
      </c>
      <c r="S28" s="421">
        <f t="shared" si="3"/>
        <v>0</v>
      </c>
      <c r="T28" s="636">
        <f t="shared" ref="T28" si="4">SUM(T24:T27)</f>
        <v>1399082.98</v>
      </c>
    </row>
    <row r="29" spans="1:22" x14ac:dyDescent="0.2">
      <c r="A29" s="379"/>
      <c r="B29" s="423"/>
      <c r="C29" s="414"/>
      <c r="D29" s="415"/>
      <c r="E29" s="424"/>
      <c r="F29" s="415"/>
      <c r="G29" s="415"/>
      <c r="H29" s="425"/>
      <c r="I29" s="425"/>
      <c r="J29" s="425"/>
      <c r="K29" s="425"/>
      <c r="L29" s="425"/>
      <c r="M29" s="426"/>
      <c r="N29" s="426"/>
      <c r="O29" s="426"/>
      <c r="P29" s="425"/>
      <c r="Q29" s="425"/>
      <c r="R29" s="425"/>
      <c r="S29" s="425"/>
      <c r="T29" s="637"/>
    </row>
    <row r="30" spans="1:22" x14ac:dyDescent="0.2">
      <c r="A30" s="403"/>
      <c r="B30" s="404" t="s">
        <v>813</v>
      </c>
      <c r="C30" s="427">
        <f t="shared" ref="C30:T30" si="5">C23+C28</f>
        <v>2093000</v>
      </c>
      <c r="D30" s="428">
        <f t="shared" si="5"/>
        <v>2054000</v>
      </c>
      <c r="E30" s="429">
        <f t="shared" si="5"/>
        <v>2020618.47</v>
      </c>
      <c r="F30" s="428">
        <f t="shared" si="5"/>
        <v>1480000</v>
      </c>
      <c r="G30" s="428">
        <f t="shared" si="5"/>
        <v>0</v>
      </c>
      <c r="H30" s="430">
        <f t="shared" si="5"/>
        <v>629480.31999999995</v>
      </c>
      <c r="I30" s="430">
        <f t="shared" si="5"/>
        <v>636619.49</v>
      </c>
      <c r="J30" s="430">
        <f t="shared" si="5"/>
        <v>645850.54999999993</v>
      </c>
      <c r="K30" s="430">
        <f t="shared" si="5"/>
        <v>668576.54999999993</v>
      </c>
      <c r="L30" s="431">
        <f t="shared" si="5"/>
        <v>682840.79999999993</v>
      </c>
      <c r="M30" s="430">
        <f t="shared" si="5"/>
        <v>705619.79999999993</v>
      </c>
      <c r="N30" s="430">
        <f t="shared" si="5"/>
        <v>705919.6</v>
      </c>
      <c r="O30" s="430">
        <f t="shared" si="5"/>
        <v>961707.15</v>
      </c>
      <c r="P30" s="432">
        <f t="shared" si="5"/>
        <v>1180910.25</v>
      </c>
      <c r="Q30" s="432">
        <f t="shared" si="5"/>
        <v>1233145.43</v>
      </c>
      <c r="R30" s="432">
        <f t="shared" si="5"/>
        <v>1254708.3899999999</v>
      </c>
      <c r="S30" s="431">
        <f t="shared" si="5"/>
        <v>0</v>
      </c>
      <c r="T30" s="638">
        <f t="shared" si="5"/>
        <v>1500919.53</v>
      </c>
    </row>
    <row r="31" spans="1:22" x14ac:dyDescent="0.2">
      <c r="A31" s="433" t="s">
        <v>119</v>
      </c>
      <c r="B31" s="435"/>
      <c r="C31" s="436"/>
      <c r="D31" s="437"/>
      <c r="E31" s="438"/>
      <c r="F31" s="437"/>
      <c r="G31" s="437"/>
      <c r="H31" s="439"/>
      <c r="I31" s="439"/>
      <c r="J31" s="439"/>
      <c r="K31" s="439"/>
      <c r="L31" s="439"/>
      <c r="M31" s="439"/>
      <c r="N31" s="439"/>
      <c r="O31" s="439"/>
      <c r="P31" s="439"/>
      <c r="Q31" s="439"/>
      <c r="R31" s="439"/>
      <c r="S31" s="439"/>
      <c r="T31" s="639"/>
    </row>
    <row r="32" spans="1:22" x14ac:dyDescent="0.2">
      <c r="A32" s="486" t="s">
        <v>124</v>
      </c>
      <c r="B32" s="487" t="s">
        <v>814</v>
      </c>
      <c r="C32" s="488">
        <v>25000</v>
      </c>
      <c r="D32" s="489">
        <v>25000</v>
      </c>
      <c r="E32" s="490">
        <v>24850</v>
      </c>
      <c r="F32" s="489">
        <v>25000</v>
      </c>
      <c r="G32" s="443"/>
      <c r="H32" s="445">
        <v>2100</v>
      </c>
      <c r="I32" s="445">
        <v>3850</v>
      </c>
      <c r="J32" s="445">
        <v>5950</v>
      </c>
      <c r="K32" s="445">
        <v>7875</v>
      </c>
      <c r="L32" s="445">
        <v>10150</v>
      </c>
      <c r="M32" s="445">
        <v>12250</v>
      </c>
      <c r="N32" s="445">
        <v>13125</v>
      </c>
      <c r="O32" s="445">
        <v>15400</v>
      </c>
      <c r="P32" s="445">
        <v>17675</v>
      </c>
      <c r="Q32" s="445">
        <v>19950</v>
      </c>
      <c r="R32" s="445">
        <v>22225</v>
      </c>
      <c r="S32" s="445"/>
      <c r="T32" s="640">
        <v>26775</v>
      </c>
      <c r="U32" s="342" t="s">
        <v>546</v>
      </c>
      <c r="V32" s="366" t="s">
        <v>1263</v>
      </c>
    </row>
    <row r="33" spans="1:25" x14ac:dyDescent="0.2">
      <c r="A33" s="486" t="s">
        <v>125</v>
      </c>
      <c r="B33" s="655" t="s">
        <v>815</v>
      </c>
      <c r="C33" s="488">
        <v>32000</v>
      </c>
      <c r="D33" s="489">
        <v>32000</v>
      </c>
      <c r="E33" s="562">
        <v>21805</v>
      </c>
      <c r="F33" s="489">
        <v>30000</v>
      </c>
      <c r="G33" s="443"/>
      <c r="H33" s="445">
        <v>1380</v>
      </c>
      <c r="I33" s="445">
        <v>4095</v>
      </c>
      <c r="J33" s="445">
        <v>5450</v>
      </c>
      <c r="K33" s="445">
        <v>6250</v>
      </c>
      <c r="L33" s="445">
        <v>8220</v>
      </c>
      <c r="M33" s="445">
        <v>9260</v>
      </c>
      <c r="N33" s="445">
        <v>9415</v>
      </c>
      <c r="O33" s="445">
        <v>10555</v>
      </c>
      <c r="P33" s="447">
        <v>11395</v>
      </c>
      <c r="Q33" s="447">
        <v>12970</v>
      </c>
      <c r="R33" s="447">
        <v>13890</v>
      </c>
      <c r="S33" s="447"/>
      <c r="T33" s="641">
        <v>15180</v>
      </c>
      <c r="U33" s="342">
        <f>F33*0.4</f>
        <v>12000</v>
      </c>
      <c r="V33" s="563">
        <f>F33*0.6</f>
        <v>18000</v>
      </c>
      <c r="W33" s="342">
        <f>SUM(U33:V33)</f>
        <v>30000</v>
      </c>
      <c r="Y33" s="514">
        <f>T33+T36</f>
        <v>25945</v>
      </c>
    </row>
    <row r="34" spans="1:25" x14ac:dyDescent="0.2">
      <c r="A34" s="486" t="s">
        <v>126</v>
      </c>
      <c r="B34" s="655" t="s">
        <v>816</v>
      </c>
      <c r="C34" s="488">
        <v>25000</v>
      </c>
      <c r="D34" s="489">
        <v>25000</v>
      </c>
      <c r="E34" s="562">
        <v>20630</v>
      </c>
      <c r="F34" s="489">
        <v>25000</v>
      </c>
      <c r="G34" s="443"/>
      <c r="H34" s="445">
        <v>1300</v>
      </c>
      <c r="I34" s="445">
        <v>3100</v>
      </c>
      <c r="J34" s="445">
        <v>5050</v>
      </c>
      <c r="K34" s="445">
        <v>8340</v>
      </c>
      <c r="L34" s="445">
        <v>10030</v>
      </c>
      <c r="M34" s="445">
        <v>11550</v>
      </c>
      <c r="N34" s="445">
        <v>11590</v>
      </c>
      <c r="O34" s="445">
        <v>12970</v>
      </c>
      <c r="P34" s="447">
        <v>14510</v>
      </c>
      <c r="Q34" s="447">
        <v>16950</v>
      </c>
      <c r="R34" s="447">
        <v>17880</v>
      </c>
      <c r="S34" s="447"/>
      <c r="T34" s="641">
        <v>19640</v>
      </c>
    </row>
    <row r="35" spans="1:25" x14ac:dyDescent="0.2">
      <c r="A35" s="486" t="s">
        <v>127</v>
      </c>
      <c r="B35" s="487" t="s">
        <v>817</v>
      </c>
      <c r="C35" s="442">
        <v>1000</v>
      </c>
      <c r="D35" s="443">
        <v>1000</v>
      </c>
      <c r="E35" s="446">
        <v>200</v>
      </c>
      <c r="F35" s="489">
        <v>500</v>
      </c>
      <c r="G35" s="443"/>
      <c r="H35" s="445">
        <v>0</v>
      </c>
      <c r="I35" s="445">
        <v>0</v>
      </c>
      <c r="J35" s="445">
        <v>80</v>
      </c>
      <c r="K35" s="445">
        <v>120</v>
      </c>
      <c r="L35" s="445">
        <v>120</v>
      </c>
      <c r="M35" s="445">
        <v>150</v>
      </c>
      <c r="N35" s="445">
        <v>150</v>
      </c>
      <c r="O35" s="445">
        <v>180</v>
      </c>
      <c r="P35" s="447">
        <v>180</v>
      </c>
      <c r="Q35" s="447">
        <v>180</v>
      </c>
      <c r="R35" s="447">
        <v>180</v>
      </c>
      <c r="S35" s="447"/>
      <c r="T35" s="641">
        <v>180</v>
      </c>
      <c r="Y35" s="514"/>
    </row>
    <row r="36" spans="1:25" x14ac:dyDescent="0.2">
      <c r="A36" s="486" t="s">
        <v>129</v>
      </c>
      <c r="B36" s="655" t="s">
        <v>818</v>
      </c>
      <c r="C36" s="488">
        <v>12000</v>
      </c>
      <c r="D36" s="489">
        <v>12000</v>
      </c>
      <c r="E36" s="562">
        <v>12125</v>
      </c>
      <c r="F36" s="489">
        <v>13500</v>
      </c>
      <c r="G36" s="443"/>
      <c r="H36" s="445">
        <v>945</v>
      </c>
      <c r="I36" s="445">
        <v>1905</v>
      </c>
      <c r="J36" s="445">
        <v>3275</v>
      </c>
      <c r="K36" s="445">
        <v>4295</v>
      </c>
      <c r="L36" s="445">
        <v>5580</v>
      </c>
      <c r="M36" s="445">
        <v>6080</v>
      </c>
      <c r="N36" s="445">
        <v>6080</v>
      </c>
      <c r="O36" s="445">
        <v>7110</v>
      </c>
      <c r="P36" s="447">
        <v>8140</v>
      </c>
      <c r="Q36" s="447">
        <v>8720</v>
      </c>
      <c r="R36" s="447">
        <v>9615</v>
      </c>
      <c r="S36" s="447"/>
      <c r="T36" s="641">
        <v>10765</v>
      </c>
      <c r="U36" s="342">
        <f>F36*0.4</f>
        <v>5400</v>
      </c>
      <c r="V36" s="563">
        <f>F36*0.6</f>
        <v>8100</v>
      </c>
      <c r="W36" s="342">
        <f>SUM(U36:V36)</f>
        <v>13500</v>
      </c>
      <c r="Y36" s="514"/>
    </row>
    <row r="37" spans="1:25" x14ac:dyDescent="0.2">
      <c r="A37" s="486" t="s">
        <v>819</v>
      </c>
      <c r="B37" s="487" t="s">
        <v>820</v>
      </c>
      <c r="C37" s="442">
        <v>500</v>
      </c>
      <c r="D37" s="443">
        <v>500</v>
      </c>
      <c r="E37" s="446">
        <v>0</v>
      </c>
      <c r="F37" s="489">
        <v>300</v>
      </c>
      <c r="G37" s="443"/>
      <c r="H37" s="445">
        <v>0</v>
      </c>
      <c r="I37" s="445">
        <v>0</v>
      </c>
      <c r="J37" s="445">
        <v>0</v>
      </c>
      <c r="K37" s="445">
        <v>0</v>
      </c>
      <c r="L37" s="445">
        <v>0</v>
      </c>
      <c r="M37" s="445">
        <v>0</v>
      </c>
      <c r="N37" s="445">
        <v>0</v>
      </c>
      <c r="O37" s="445">
        <v>0</v>
      </c>
      <c r="P37" s="447">
        <v>0</v>
      </c>
      <c r="Q37" s="447">
        <v>0</v>
      </c>
      <c r="R37" s="447">
        <v>0</v>
      </c>
      <c r="S37" s="447"/>
      <c r="T37" s="641">
        <v>0</v>
      </c>
      <c r="Y37" s="514"/>
    </row>
    <row r="38" spans="1:25" x14ac:dyDescent="0.2">
      <c r="A38" s="448" t="s">
        <v>821</v>
      </c>
      <c r="B38" s="449" t="s">
        <v>822</v>
      </c>
      <c r="C38" s="450"/>
      <c r="D38" s="451"/>
      <c r="E38" s="452"/>
      <c r="F38" s="451"/>
      <c r="G38" s="451"/>
      <c r="H38" s="453"/>
      <c r="I38" s="453"/>
      <c r="J38" s="453"/>
      <c r="K38" s="453"/>
      <c r="L38" s="453"/>
      <c r="M38" s="453"/>
      <c r="N38" s="453"/>
      <c r="O38" s="453"/>
      <c r="P38" s="454"/>
      <c r="Q38" s="454"/>
      <c r="R38" s="454"/>
      <c r="S38" s="454"/>
      <c r="T38" s="642"/>
    </row>
    <row r="39" spans="1:25" x14ac:dyDescent="0.2">
      <c r="A39" s="448" t="s">
        <v>823</v>
      </c>
      <c r="B39" s="449" t="s">
        <v>824</v>
      </c>
      <c r="C39" s="450"/>
      <c r="D39" s="451"/>
      <c r="E39" s="452"/>
      <c r="F39" s="451"/>
      <c r="G39" s="451"/>
      <c r="H39" s="453"/>
      <c r="I39" s="453"/>
      <c r="J39" s="453"/>
      <c r="K39" s="453"/>
      <c r="L39" s="453"/>
      <c r="M39" s="453"/>
      <c r="N39" s="453"/>
      <c r="O39" s="453"/>
      <c r="P39" s="454"/>
      <c r="Q39" s="454"/>
      <c r="R39" s="454"/>
      <c r="S39" s="454"/>
      <c r="T39" s="642"/>
      <c r="V39" s="515" t="s">
        <v>130</v>
      </c>
    </row>
    <row r="40" spans="1:25" x14ac:dyDescent="0.2">
      <c r="A40" s="486" t="s">
        <v>155</v>
      </c>
      <c r="B40" s="487" t="s">
        <v>825</v>
      </c>
      <c r="C40" s="488">
        <v>62000</v>
      </c>
      <c r="D40" s="489">
        <v>62000</v>
      </c>
      <c r="E40" s="562">
        <v>60739.199999999997</v>
      </c>
      <c r="F40" s="489">
        <v>63000</v>
      </c>
      <c r="G40" s="443"/>
      <c r="H40" s="445">
        <v>5286.6</v>
      </c>
      <c r="I40" s="445">
        <v>9673.2000000000007</v>
      </c>
      <c r="J40" s="445">
        <v>14927.4</v>
      </c>
      <c r="K40" s="445">
        <v>19747.8</v>
      </c>
      <c r="L40" s="445">
        <v>25435.8</v>
      </c>
      <c r="M40" s="445">
        <v>30690</v>
      </c>
      <c r="N40" s="445">
        <v>32859</v>
      </c>
      <c r="O40" s="445">
        <v>38547</v>
      </c>
      <c r="P40" s="447">
        <v>44235</v>
      </c>
      <c r="Q40" s="447">
        <v>49923</v>
      </c>
      <c r="R40" s="447">
        <v>55611</v>
      </c>
      <c r="S40" s="447"/>
      <c r="T40" s="640">
        <v>68187</v>
      </c>
      <c r="V40" s="563">
        <f>F35+F37+F151+F159+F169+F183</f>
        <v>1750</v>
      </c>
    </row>
    <row r="41" spans="1:25" x14ac:dyDescent="0.2">
      <c r="A41" s="486" t="s">
        <v>160</v>
      </c>
      <c r="B41" s="487" t="s">
        <v>826</v>
      </c>
      <c r="C41" s="488">
        <v>19000</v>
      </c>
      <c r="D41" s="489">
        <v>19000</v>
      </c>
      <c r="E41" s="565">
        <v>19048.830000000002</v>
      </c>
      <c r="F41" s="489">
        <v>19000</v>
      </c>
      <c r="G41" s="443"/>
      <c r="H41" s="445">
        <v>1639.5</v>
      </c>
      <c r="I41" s="445">
        <v>3153.4</v>
      </c>
      <c r="J41" s="445">
        <v>4983.3</v>
      </c>
      <c r="K41" s="445">
        <v>6799.81</v>
      </c>
      <c r="L41" s="445">
        <v>8616.32</v>
      </c>
      <c r="M41" s="445">
        <v>8616.32</v>
      </c>
      <c r="N41" s="445">
        <v>10432.83</v>
      </c>
      <c r="O41" s="445">
        <v>12249.34</v>
      </c>
      <c r="P41" s="447">
        <v>14065.85</v>
      </c>
      <c r="Q41" s="447">
        <v>15882.36</v>
      </c>
      <c r="R41" s="447">
        <v>17698.87</v>
      </c>
      <c r="S41" s="447"/>
      <c r="T41" s="640">
        <v>21331.89</v>
      </c>
    </row>
    <row r="42" spans="1:25" x14ac:dyDescent="0.2">
      <c r="A42" s="486" t="s">
        <v>827</v>
      </c>
      <c r="B42" s="487" t="s">
        <v>828</v>
      </c>
      <c r="C42" s="488">
        <v>500</v>
      </c>
      <c r="D42" s="489">
        <v>500</v>
      </c>
      <c r="E42" s="562">
        <v>0</v>
      </c>
      <c r="F42" s="489">
        <v>200</v>
      </c>
      <c r="G42" s="443"/>
      <c r="H42" s="445">
        <v>0</v>
      </c>
      <c r="I42" s="445">
        <v>0</v>
      </c>
      <c r="J42" s="445">
        <v>0</v>
      </c>
      <c r="K42" s="445">
        <v>0</v>
      </c>
      <c r="L42" s="445">
        <v>0</v>
      </c>
      <c r="M42" s="445">
        <v>0</v>
      </c>
      <c r="N42" s="445">
        <v>0</v>
      </c>
      <c r="O42" s="445">
        <v>0</v>
      </c>
      <c r="P42" s="447">
        <v>0</v>
      </c>
      <c r="Q42" s="447">
        <v>0</v>
      </c>
      <c r="R42" s="447">
        <v>0</v>
      </c>
      <c r="S42" s="447"/>
      <c r="T42" s="641">
        <v>0</v>
      </c>
    </row>
    <row r="43" spans="1:25" x14ac:dyDescent="0.2">
      <c r="A43" s="486" t="s">
        <v>163</v>
      </c>
      <c r="B43" s="487" t="s">
        <v>164</v>
      </c>
      <c r="C43" s="488">
        <v>164.27</v>
      </c>
      <c r="D43" s="489">
        <v>164.27</v>
      </c>
      <c r="E43" s="565">
        <v>182.57</v>
      </c>
      <c r="F43" s="489">
        <v>185</v>
      </c>
      <c r="G43" s="443"/>
      <c r="H43" s="445">
        <v>0</v>
      </c>
      <c r="I43" s="445">
        <v>0</v>
      </c>
      <c r="J43" s="445">
        <v>0</v>
      </c>
      <c r="K43" s="445">
        <v>0</v>
      </c>
      <c r="L43" s="445">
        <v>0</v>
      </c>
      <c r="M43" s="445">
        <v>0</v>
      </c>
      <c r="N43" s="445">
        <v>0</v>
      </c>
      <c r="O43" s="445">
        <v>0</v>
      </c>
      <c r="P43" s="455">
        <v>191.51</v>
      </c>
      <c r="Q43" s="455">
        <v>191.51</v>
      </c>
      <c r="R43" s="455">
        <v>191.51</v>
      </c>
      <c r="S43" s="455"/>
      <c r="T43" s="640">
        <v>191.51</v>
      </c>
    </row>
    <row r="44" spans="1:25" s="367" customFormat="1" x14ac:dyDescent="0.2">
      <c r="A44" s="448" t="s">
        <v>829</v>
      </c>
      <c r="B44" s="449" t="s">
        <v>830</v>
      </c>
      <c r="C44" s="450"/>
      <c r="D44" s="451"/>
      <c r="E44" s="456"/>
      <c r="F44" s="451"/>
      <c r="G44" s="451"/>
      <c r="H44" s="457"/>
      <c r="I44" s="457"/>
      <c r="J44" s="457"/>
      <c r="K44" s="457"/>
      <c r="L44" s="457"/>
      <c r="M44" s="457"/>
      <c r="N44" s="457"/>
      <c r="O44" s="457"/>
      <c r="P44" s="458"/>
      <c r="Q44" s="458"/>
      <c r="R44" s="458"/>
      <c r="S44" s="458"/>
      <c r="T44" s="643"/>
      <c r="U44" s="365"/>
      <c r="V44" s="366"/>
    </row>
    <row r="45" spans="1:25" x14ac:dyDescent="0.2">
      <c r="A45" s="486" t="s">
        <v>831</v>
      </c>
      <c r="B45" s="487" t="s">
        <v>574</v>
      </c>
      <c r="C45" s="442">
        <v>97500</v>
      </c>
      <c r="D45" s="443">
        <v>97500</v>
      </c>
      <c r="E45" s="446">
        <v>78185.06</v>
      </c>
      <c r="F45" s="489">
        <v>92500</v>
      </c>
      <c r="G45" s="443"/>
      <c r="H45" s="447">
        <v>6972.23</v>
      </c>
      <c r="I45" s="447">
        <v>17398.259999999998</v>
      </c>
      <c r="J45" s="447">
        <v>27026.49</v>
      </c>
      <c r="K45" s="447">
        <v>32549.82</v>
      </c>
      <c r="L45" s="447">
        <v>38243.58</v>
      </c>
      <c r="M45" s="447">
        <v>45588.08</v>
      </c>
      <c r="N45" s="447">
        <v>45588.08</v>
      </c>
      <c r="O45" s="447">
        <v>52928.85</v>
      </c>
      <c r="P45" s="447">
        <v>60269.62</v>
      </c>
      <c r="Q45" s="447">
        <v>67827.070000000007</v>
      </c>
      <c r="R45" s="447">
        <v>75046.95</v>
      </c>
      <c r="S45" s="447"/>
      <c r="T45" s="641">
        <v>90530.79</v>
      </c>
    </row>
    <row r="46" spans="1:25" x14ac:dyDescent="0.2">
      <c r="A46" s="486" t="s">
        <v>171</v>
      </c>
      <c r="B46" s="487" t="s">
        <v>832</v>
      </c>
      <c r="C46" s="488">
        <v>23000</v>
      </c>
      <c r="D46" s="489">
        <v>23000</v>
      </c>
      <c r="E46" s="562">
        <v>25732.16</v>
      </c>
      <c r="F46" s="489">
        <v>26000</v>
      </c>
      <c r="G46" s="443"/>
      <c r="H46" s="447">
        <v>1996.27</v>
      </c>
      <c r="I46" s="447">
        <v>3581.53</v>
      </c>
      <c r="J46" s="447">
        <v>7716.58</v>
      </c>
      <c r="K46" s="447">
        <v>9295.18</v>
      </c>
      <c r="L46" s="447">
        <v>9295.18</v>
      </c>
      <c r="M46" s="447">
        <v>12465.24</v>
      </c>
      <c r="N46" s="447">
        <v>12465.24</v>
      </c>
      <c r="O46" s="447">
        <v>14372.59</v>
      </c>
      <c r="P46" s="447">
        <v>16278.49</v>
      </c>
      <c r="Q46" s="447">
        <v>18184.39</v>
      </c>
      <c r="R46" s="447">
        <v>19873.61</v>
      </c>
      <c r="S46" s="455"/>
      <c r="T46" s="641">
        <v>20905.61</v>
      </c>
    </row>
    <row r="47" spans="1:25" x14ac:dyDescent="0.2">
      <c r="A47" s="486" t="s">
        <v>833</v>
      </c>
      <c r="B47" s="487" t="s">
        <v>575</v>
      </c>
      <c r="C47" s="488">
        <v>68500</v>
      </c>
      <c r="D47" s="489">
        <v>68500</v>
      </c>
      <c r="E47" s="562">
        <v>67516.55</v>
      </c>
      <c r="F47" s="489">
        <v>73000</v>
      </c>
      <c r="G47" s="443"/>
      <c r="H47" s="447">
        <v>4194.84</v>
      </c>
      <c r="I47" s="447">
        <v>12185.26</v>
      </c>
      <c r="J47" s="447">
        <v>17962.810000000001</v>
      </c>
      <c r="K47" s="447">
        <v>22065.68</v>
      </c>
      <c r="L47" s="447">
        <v>26270.98</v>
      </c>
      <c r="M47" s="447">
        <v>26270.98</v>
      </c>
      <c r="N47" s="447">
        <v>30476.28</v>
      </c>
      <c r="O47" s="447">
        <v>36874.9</v>
      </c>
      <c r="P47" s="447">
        <v>42042.84</v>
      </c>
      <c r="Q47" s="447">
        <v>47303.58</v>
      </c>
      <c r="R47" s="447">
        <v>52564.32</v>
      </c>
      <c r="S47" s="447"/>
      <c r="T47" s="641">
        <v>63085.8</v>
      </c>
    </row>
    <row r="48" spans="1:25" x14ac:dyDescent="0.2">
      <c r="A48" s="486" t="s">
        <v>177</v>
      </c>
      <c r="B48" s="487" t="s">
        <v>834</v>
      </c>
      <c r="C48" s="488">
        <v>13000</v>
      </c>
      <c r="D48" s="489">
        <v>13000</v>
      </c>
      <c r="E48" s="562">
        <v>12548.37</v>
      </c>
      <c r="F48" s="489">
        <v>14500</v>
      </c>
      <c r="G48" s="443"/>
      <c r="H48" s="447">
        <v>1005.11</v>
      </c>
      <c r="I48" s="447">
        <v>2741.92</v>
      </c>
      <c r="J48" s="447">
        <v>3797.69</v>
      </c>
      <c r="K48" s="447">
        <v>4560.5200000000004</v>
      </c>
      <c r="L48" s="447">
        <v>5342.03</v>
      </c>
      <c r="M48" s="447">
        <v>6330.49</v>
      </c>
      <c r="N48" s="447">
        <v>6330.49</v>
      </c>
      <c r="O48" s="447">
        <v>7318.95</v>
      </c>
      <c r="P48" s="447">
        <v>8307.41</v>
      </c>
      <c r="Q48" s="447">
        <v>9295.8700000000008</v>
      </c>
      <c r="R48" s="447">
        <v>10284.33</v>
      </c>
      <c r="S48" s="447"/>
      <c r="T48" s="641">
        <v>12261.25</v>
      </c>
    </row>
    <row r="49" spans="1:23" x14ac:dyDescent="0.2">
      <c r="A49" s="486" t="s">
        <v>835</v>
      </c>
      <c r="B49" s="487" t="s">
        <v>836</v>
      </c>
      <c r="C49" s="442">
        <v>400</v>
      </c>
      <c r="D49" s="443">
        <v>400</v>
      </c>
      <c r="E49" s="446">
        <v>0</v>
      </c>
      <c r="F49" s="489">
        <v>200</v>
      </c>
      <c r="G49" s="443"/>
      <c r="H49" s="447">
        <v>0</v>
      </c>
      <c r="I49" s="447">
        <v>0</v>
      </c>
      <c r="J49" s="447">
        <v>0</v>
      </c>
      <c r="K49" s="447">
        <v>0</v>
      </c>
      <c r="L49" s="447">
        <v>0</v>
      </c>
      <c r="M49" s="447">
        <v>0</v>
      </c>
      <c r="N49" s="447">
        <v>0</v>
      </c>
      <c r="O49" s="447">
        <v>0</v>
      </c>
      <c r="P49" s="447">
        <v>0</v>
      </c>
      <c r="Q49" s="447">
        <v>0</v>
      </c>
      <c r="R49" s="447">
        <v>0</v>
      </c>
      <c r="S49" s="447"/>
      <c r="T49" s="641">
        <v>0</v>
      </c>
      <c r="U49" s="342" t="s">
        <v>1264</v>
      </c>
      <c r="W49" s="514">
        <f>F49+F91+F92+F93</f>
        <v>600</v>
      </c>
    </row>
    <row r="50" spans="1:23" x14ac:dyDescent="0.2">
      <c r="A50" s="486" t="s">
        <v>180</v>
      </c>
      <c r="B50" s="487" t="s">
        <v>181</v>
      </c>
      <c r="C50" s="488">
        <v>600</v>
      </c>
      <c r="D50" s="489">
        <v>600</v>
      </c>
      <c r="E50" s="562">
        <v>473.67</v>
      </c>
      <c r="F50" s="489">
        <v>500</v>
      </c>
      <c r="G50" s="443"/>
      <c r="H50" s="447">
        <v>0</v>
      </c>
      <c r="I50" s="447">
        <v>0</v>
      </c>
      <c r="J50" s="447">
        <v>0</v>
      </c>
      <c r="K50" s="447">
        <v>0</v>
      </c>
      <c r="L50" s="447">
        <v>0</v>
      </c>
      <c r="M50" s="447">
        <v>0</v>
      </c>
      <c r="N50" s="447">
        <v>0</v>
      </c>
      <c r="O50" s="447">
        <v>0</v>
      </c>
      <c r="P50" s="447">
        <v>457.09</v>
      </c>
      <c r="Q50" s="447">
        <v>457.09</v>
      </c>
      <c r="R50" s="447">
        <v>457.09</v>
      </c>
      <c r="S50" s="447"/>
      <c r="T50" s="641">
        <v>457.09</v>
      </c>
    </row>
    <row r="51" spans="1:23" s="367" customFormat="1" x14ac:dyDescent="0.2">
      <c r="A51" s="448" t="s">
        <v>837</v>
      </c>
      <c r="B51" s="449" t="s">
        <v>838</v>
      </c>
      <c r="C51" s="450"/>
      <c r="D51" s="451"/>
      <c r="E51" s="456"/>
      <c r="F51" s="451"/>
      <c r="G51" s="451"/>
      <c r="H51" s="457"/>
      <c r="I51" s="457"/>
      <c r="J51" s="457"/>
      <c r="K51" s="457"/>
      <c r="L51" s="457"/>
      <c r="M51" s="457"/>
      <c r="N51" s="457"/>
      <c r="O51" s="457"/>
      <c r="P51" s="458"/>
      <c r="Q51" s="458"/>
      <c r="R51" s="458"/>
      <c r="S51" s="458"/>
      <c r="T51" s="643"/>
      <c r="U51" s="365"/>
      <c r="V51" s="366"/>
    </row>
    <row r="52" spans="1:23" x14ac:dyDescent="0.2">
      <c r="A52" s="486" t="s">
        <v>839</v>
      </c>
      <c r="B52" s="487" t="s">
        <v>840</v>
      </c>
      <c r="C52" s="442">
        <v>5400</v>
      </c>
      <c r="D52" s="443">
        <v>5400</v>
      </c>
      <c r="E52" s="446">
        <v>0</v>
      </c>
      <c r="F52" s="489">
        <v>0</v>
      </c>
      <c r="G52" s="443"/>
      <c r="H52" s="445">
        <v>0</v>
      </c>
      <c r="I52" s="445">
        <v>0</v>
      </c>
      <c r="J52" s="445">
        <v>0</v>
      </c>
      <c r="K52" s="445">
        <v>0</v>
      </c>
      <c r="L52" s="445">
        <v>0</v>
      </c>
      <c r="M52" s="445">
        <v>0</v>
      </c>
      <c r="N52" s="445">
        <v>0</v>
      </c>
      <c r="O52" s="445">
        <v>0</v>
      </c>
      <c r="P52" s="447">
        <v>0</v>
      </c>
      <c r="Q52" s="447">
        <v>0</v>
      </c>
      <c r="R52" s="447">
        <v>0</v>
      </c>
      <c r="S52" s="447"/>
      <c r="T52" s="641">
        <v>0</v>
      </c>
    </row>
    <row r="53" spans="1:23" x14ac:dyDescent="0.2">
      <c r="A53" s="486" t="s">
        <v>841</v>
      </c>
      <c r="B53" s="487" t="s">
        <v>158</v>
      </c>
      <c r="C53" s="488">
        <v>2160</v>
      </c>
      <c r="D53" s="489">
        <v>2160</v>
      </c>
      <c r="E53" s="562">
        <v>0</v>
      </c>
      <c r="F53" s="489">
        <v>0</v>
      </c>
      <c r="G53" s="443"/>
      <c r="H53" s="445">
        <v>0</v>
      </c>
      <c r="I53" s="445">
        <v>0</v>
      </c>
      <c r="J53" s="445">
        <v>0</v>
      </c>
      <c r="K53" s="445">
        <v>0</v>
      </c>
      <c r="L53" s="445">
        <v>0</v>
      </c>
      <c r="M53" s="445">
        <v>0</v>
      </c>
      <c r="N53" s="445">
        <v>0</v>
      </c>
      <c r="O53" s="445">
        <v>0</v>
      </c>
      <c r="P53" s="447">
        <v>0</v>
      </c>
      <c r="Q53" s="447">
        <v>0</v>
      </c>
      <c r="R53" s="447">
        <v>0</v>
      </c>
      <c r="S53" s="447"/>
      <c r="T53" s="641">
        <v>0</v>
      </c>
    </row>
    <row r="54" spans="1:23" x14ac:dyDescent="0.2">
      <c r="A54" s="459" t="s">
        <v>165</v>
      </c>
      <c r="B54" s="460" t="s">
        <v>842</v>
      </c>
      <c r="C54" s="450">
        <v>1500</v>
      </c>
      <c r="D54" s="451">
        <v>1500</v>
      </c>
      <c r="E54" s="452">
        <v>0</v>
      </c>
      <c r="F54" s="451">
        <v>0</v>
      </c>
      <c r="G54" s="451"/>
      <c r="H54" s="453">
        <v>0</v>
      </c>
      <c r="I54" s="453">
        <v>0</v>
      </c>
      <c r="J54" s="453">
        <v>0</v>
      </c>
      <c r="K54" s="453">
        <v>0</v>
      </c>
      <c r="L54" s="453">
        <v>0</v>
      </c>
      <c r="M54" s="453">
        <v>0</v>
      </c>
      <c r="N54" s="453">
        <v>0</v>
      </c>
      <c r="O54" s="453">
        <v>0</v>
      </c>
      <c r="P54" s="454">
        <v>0</v>
      </c>
      <c r="Q54" s="454">
        <v>0</v>
      </c>
      <c r="R54" s="454">
        <v>0</v>
      </c>
      <c r="S54" s="454"/>
      <c r="T54" s="642">
        <v>0</v>
      </c>
    </row>
    <row r="55" spans="1:23" x14ac:dyDescent="0.2">
      <c r="A55" s="461"/>
      <c r="B55" s="462" t="s">
        <v>843</v>
      </c>
      <c r="C55" s="436">
        <f t="shared" ref="C55:S55" si="6">SUM(C32:C54)</f>
        <v>389224.27</v>
      </c>
      <c r="D55" s="437">
        <f t="shared" si="6"/>
        <v>389224.27</v>
      </c>
      <c r="E55" s="463">
        <f t="shared" si="6"/>
        <v>344036.41</v>
      </c>
      <c r="F55" s="437">
        <f>SUM(F32:F54)</f>
        <v>383385</v>
      </c>
      <c r="G55" s="437">
        <f t="shared" si="6"/>
        <v>0</v>
      </c>
      <c r="H55" s="464">
        <f t="shared" si="6"/>
        <v>26819.550000000003</v>
      </c>
      <c r="I55" s="464">
        <f t="shared" si="6"/>
        <v>61683.57</v>
      </c>
      <c r="J55" s="464">
        <f t="shared" si="6"/>
        <v>96219.27</v>
      </c>
      <c r="K55" s="464">
        <f t="shared" si="6"/>
        <v>121898.80999999998</v>
      </c>
      <c r="L55" s="464">
        <f t="shared" si="6"/>
        <v>147303.89000000001</v>
      </c>
      <c r="M55" s="464">
        <f t="shared" si="6"/>
        <v>169251.11000000002</v>
      </c>
      <c r="N55" s="464">
        <f t="shared" si="6"/>
        <v>178511.91999999998</v>
      </c>
      <c r="O55" s="464">
        <f t="shared" si="6"/>
        <v>208506.63</v>
      </c>
      <c r="P55" s="464">
        <f t="shared" si="6"/>
        <v>237747.81</v>
      </c>
      <c r="Q55" s="464">
        <f t="shared" si="6"/>
        <v>267834.87000000005</v>
      </c>
      <c r="R55" s="464">
        <f t="shared" si="6"/>
        <v>295517.68000000005</v>
      </c>
      <c r="S55" s="464">
        <f t="shared" si="6"/>
        <v>0</v>
      </c>
      <c r="T55" s="644">
        <f t="shared" ref="T55" si="7">SUM(T32:T54)</f>
        <v>349490.94</v>
      </c>
    </row>
    <row r="56" spans="1:23" s="367" customFormat="1" x14ac:dyDescent="0.2">
      <c r="A56" s="448" t="s">
        <v>844</v>
      </c>
      <c r="B56" s="460" t="s">
        <v>845</v>
      </c>
      <c r="C56" s="450"/>
      <c r="D56" s="451"/>
      <c r="E56" s="465"/>
      <c r="F56" s="451"/>
      <c r="G56" s="451"/>
      <c r="H56" s="457"/>
      <c r="I56" s="457"/>
      <c r="J56" s="457"/>
      <c r="K56" s="457"/>
      <c r="L56" s="457"/>
      <c r="M56" s="457"/>
      <c r="N56" s="457"/>
      <c r="O56" s="457"/>
      <c r="P56" s="457"/>
      <c r="Q56" s="457"/>
      <c r="R56" s="457"/>
      <c r="S56" s="457"/>
      <c r="T56" s="645"/>
      <c r="U56" s="566" t="s">
        <v>199</v>
      </c>
      <c r="V56" s="366"/>
      <c r="W56" s="545">
        <f>F59+F61+F79+F80</f>
        <v>1610</v>
      </c>
    </row>
    <row r="57" spans="1:23" x14ac:dyDescent="0.2">
      <c r="A57" s="486" t="s">
        <v>198</v>
      </c>
      <c r="B57" s="487" t="s">
        <v>846</v>
      </c>
      <c r="C57" s="488">
        <v>1500</v>
      </c>
      <c r="D57" s="489">
        <v>1500</v>
      </c>
      <c r="E57" s="562">
        <v>156.78</v>
      </c>
      <c r="F57" s="489">
        <v>300</v>
      </c>
      <c r="G57" s="443"/>
      <c r="H57" s="445">
        <v>0</v>
      </c>
      <c r="I57" s="445">
        <v>59.68</v>
      </c>
      <c r="J57" s="447">
        <v>59.68</v>
      </c>
      <c r="K57" s="447">
        <v>66.66</v>
      </c>
      <c r="L57" s="447">
        <v>66.66</v>
      </c>
      <c r="M57" s="455">
        <v>311.39</v>
      </c>
      <c r="N57" s="455">
        <v>311.39</v>
      </c>
      <c r="O57" s="447">
        <v>73.260000000000005</v>
      </c>
      <c r="P57" s="447">
        <v>73.260000000000005</v>
      </c>
      <c r="Q57" s="447">
        <v>73.260000000000005</v>
      </c>
      <c r="R57" s="447">
        <v>73.260000000000005</v>
      </c>
      <c r="S57" s="447"/>
      <c r="T57" s="641">
        <v>73.260000000000005</v>
      </c>
      <c r="U57" s="342" t="s">
        <v>1265</v>
      </c>
      <c r="W57" s="514">
        <f>F57+F62</f>
        <v>550</v>
      </c>
    </row>
    <row r="58" spans="1:23" x14ac:dyDescent="0.2">
      <c r="A58" s="486" t="s">
        <v>207</v>
      </c>
      <c r="B58" s="487" t="s">
        <v>847</v>
      </c>
      <c r="C58" s="488">
        <v>600</v>
      </c>
      <c r="D58" s="489">
        <v>600</v>
      </c>
      <c r="E58" s="562">
        <v>598.79999999999995</v>
      </c>
      <c r="F58" s="489">
        <v>600</v>
      </c>
      <c r="G58" s="443"/>
      <c r="H58" s="445">
        <v>49.9</v>
      </c>
      <c r="I58" s="445">
        <v>99.8</v>
      </c>
      <c r="J58" s="447">
        <v>149.69999999999999</v>
      </c>
      <c r="K58" s="447">
        <v>211.3</v>
      </c>
      <c r="L58" s="447">
        <v>261.2</v>
      </c>
      <c r="M58" s="447">
        <v>261.2</v>
      </c>
      <c r="N58" s="447">
        <v>311.10000000000002</v>
      </c>
      <c r="O58" s="455">
        <v>817.01</v>
      </c>
      <c r="P58" s="455">
        <v>1122.75</v>
      </c>
      <c r="Q58" s="455">
        <v>1457.93</v>
      </c>
      <c r="R58" s="455">
        <v>1815.96</v>
      </c>
      <c r="S58" s="447"/>
      <c r="T58" s="640">
        <v>1915.76</v>
      </c>
    </row>
    <row r="59" spans="1:23" x14ac:dyDescent="0.2">
      <c r="A59" s="486" t="s">
        <v>848</v>
      </c>
      <c r="B59" s="487" t="s">
        <v>849</v>
      </c>
      <c r="C59" s="488">
        <v>75</v>
      </c>
      <c r="D59" s="489">
        <v>75</v>
      </c>
      <c r="E59" s="562">
        <v>69.959999999999994</v>
      </c>
      <c r="F59" s="489">
        <v>75</v>
      </c>
      <c r="G59" s="443"/>
      <c r="H59" s="445">
        <v>0</v>
      </c>
      <c r="I59" s="445">
        <v>18.940000000000001</v>
      </c>
      <c r="J59" s="447">
        <v>18.940000000000001</v>
      </c>
      <c r="K59" s="447">
        <v>18.940000000000001</v>
      </c>
      <c r="L59" s="447">
        <v>37.299999999999997</v>
      </c>
      <c r="M59" s="447">
        <v>37.299999999999997</v>
      </c>
      <c r="N59" s="447">
        <v>37.299999999999997</v>
      </c>
      <c r="O59" s="447">
        <v>37.299999999999997</v>
      </c>
      <c r="P59" s="447">
        <v>55.66</v>
      </c>
      <c r="Q59" s="447">
        <v>55.66</v>
      </c>
      <c r="R59" s="447">
        <v>55.66</v>
      </c>
      <c r="S59" s="447"/>
      <c r="T59" s="641">
        <v>74.02</v>
      </c>
    </row>
    <row r="60" spans="1:23" x14ac:dyDescent="0.2">
      <c r="A60" s="486" t="s">
        <v>850</v>
      </c>
      <c r="B60" s="487" t="s">
        <v>851</v>
      </c>
      <c r="C60" s="488">
        <v>300</v>
      </c>
      <c r="D60" s="489">
        <v>300</v>
      </c>
      <c r="E60" s="562">
        <v>0</v>
      </c>
      <c r="F60" s="489">
        <v>0</v>
      </c>
      <c r="G60" s="443"/>
      <c r="H60" s="445">
        <v>0</v>
      </c>
      <c r="I60" s="445">
        <v>0</v>
      </c>
      <c r="J60" s="447">
        <v>0</v>
      </c>
      <c r="K60" s="447">
        <v>0</v>
      </c>
      <c r="L60" s="447">
        <v>0</v>
      </c>
      <c r="M60" s="447">
        <v>0</v>
      </c>
      <c r="N60" s="447">
        <v>0</v>
      </c>
      <c r="O60" s="447">
        <v>0</v>
      </c>
      <c r="P60" s="447">
        <v>0</v>
      </c>
      <c r="Q60" s="447">
        <v>0</v>
      </c>
      <c r="R60" s="447">
        <v>0</v>
      </c>
      <c r="S60" s="447"/>
      <c r="T60" s="641">
        <v>0</v>
      </c>
    </row>
    <row r="61" spans="1:23" x14ac:dyDescent="0.2">
      <c r="A61" s="486" t="s">
        <v>852</v>
      </c>
      <c r="B61" s="487" t="s">
        <v>853</v>
      </c>
      <c r="C61" s="488">
        <v>1000</v>
      </c>
      <c r="D61" s="489">
        <v>1000</v>
      </c>
      <c r="E61" s="565">
        <v>1075.75</v>
      </c>
      <c r="F61" s="489">
        <v>1000</v>
      </c>
      <c r="G61" s="443"/>
      <c r="H61" s="445">
        <v>0</v>
      </c>
      <c r="I61" s="445">
        <v>0</v>
      </c>
      <c r="J61" s="447">
        <v>39</v>
      </c>
      <c r="K61" s="447">
        <v>46</v>
      </c>
      <c r="L61" s="447">
        <v>351.1</v>
      </c>
      <c r="M61" s="447">
        <v>351.1</v>
      </c>
      <c r="N61" s="447">
        <v>351.1</v>
      </c>
      <c r="O61" s="447">
        <v>351.1</v>
      </c>
      <c r="P61" s="447">
        <v>351.1</v>
      </c>
      <c r="Q61" s="447">
        <v>351.1</v>
      </c>
      <c r="R61" s="447">
        <v>388.44</v>
      </c>
      <c r="S61" s="455"/>
      <c r="T61" s="641">
        <v>388.44</v>
      </c>
    </row>
    <row r="62" spans="1:23" x14ac:dyDescent="0.2">
      <c r="A62" s="486" t="s">
        <v>854</v>
      </c>
      <c r="B62" s="487" t="s">
        <v>856</v>
      </c>
      <c r="C62" s="488">
        <v>1000</v>
      </c>
      <c r="D62" s="489">
        <v>1000</v>
      </c>
      <c r="E62" s="562">
        <v>166.74</v>
      </c>
      <c r="F62" s="489">
        <v>250</v>
      </c>
      <c r="G62" s="443"/>
      <c r="H62" s="445">
        <v>0</v>
      </c>
      <c r="I62" s="445">
        <v>41.95</v>
      </c>
      <c r="J62" s="447">
        <v>41.95</v>
      </c>
      <c r="K62" s="447">
        <v>110.8</v>
      </c>
      <c r="L62" s="447">
        <v>110.8</v>
      </c>
      <c r="M62" s="447">
        <v>152.75</v>
      </c>
      <c r="N62" s="447">
        <v>152.75</v>
      </c>
      <c r="O62" s="447">
        <v>152.75</v>
      </c>
      <c r="P62" s="447">
        <v>249.58</v>
      </c>
      <c r="Q62" s="447">
        <v>249.58</v>
      </c>
      <c r="R62" s="447">
        <v>249.58</v>
      </c>
      <c r="S62" s="447"/>
      <c r="T62" s="641">
        <v>249.58</v>
      </c>
    </row>
    <row r="63" spans="1:23" x14ac:dyDescent="0.2">
      <c r="A63" s="486" t="s">
        <v>857</v>
      </c>
      <c r="B63" s="487" t="s">
        <v>858</v>
      </c>
      <c r="C63" s="488">
        <v>300</v>
      </c>
      <c r="D63" s="489">
        <v>300</v>
      </c>
      <c r="E63" s="562">
        <v>0</v>
      </c>
      <c r="F63" s="489">
        <v>100</v>
      </c>
      <c r="G63" s="443"/>
      <c r="H63" s="445">
        <v>0</v>
      </c>
      <c r="I63" s="445">
        <v>0</v>
      </c>
      <c r="J63" s="447">
        <v>0</v>
      </c>
      <c r="K63" s="447">
        <v>0</v>
      </c>
      <c r="L63" s="447">
        <v>0</v>
      </c>
      <c r="M63" s="447">
        <v>0</v>
      </c>
      <c r="N63" s="447">
        <v>0</v>
      </c>
      <c r="O63" s="447">
        <v>0</v>
      </c>
      <c r="P63" s="447">
        <v>0</v>
      </c>
      <c r="Q63" s="447">
        <v>0</v>
      </c>
      <c r="R63" s="447">
        <v>0</v>
      </c>
      <c r="S63" s="447"/>
      <c r="T63" s="641">
        <v>0</v>
      </c>
    </row>
    <row r="64" spans="1:23" x14ac:dyDescent="0.2">
      <c r="A64" s="486" t="s">
        <v>204</v>
      </c>
      <c r="B64" s="487" t="s">
        <v>859</v>
      </c>
      <c r="C64" s="488">
        <v>600</v>
      </c>
      <c r="D64" s="489">
        <v>600</v>
      </c>
      <c r="E64" s="562">
        <v>275.14</v>
      </c>
      <c r="F64" s="489">
        <v>350</v>
      </c>
      <c r="G64" s="443"/>
      <c r="H64" s="445">
        <v>74</v>
      </c>
      <c r="I64" s="445">
        <v>74</v>
      </c>
      <c r="J64" s="447">
        <v>74</v>
      </c>
      <c r="K64" s="447">
        <v>85.2</v>
      </c>
      <c r="L64" s="447">
        <v>85.2</v>
      </c>
      <c r="M64" s="447">
        <v>332.2</v>
      </c>
      <c r="N64" s="447">
        <v>332.2</v>
      </c>
      <c r="O64" s="447">
        <v>332.2</v>
      </c>
      <c r="P64" s="447">
        <v>332.2</v>
      </c>
      <c r="Q64" s="447">
        <v>332.2</v>
      </c>
      <c r="R64" s="447">
        <v>332.2</v>
      </c>
      <c r="S64" s="447"/>
      <c r="T64" s="641">
        <v>332.2</v>
      </c>
    </row>
    <row r="65" spans="1:23" s="367" customFormat="1" x14ac:dyDescent="0.2">
      <c r="A65" s="448" t="s">
        <v>860</v>
      </c>
      <c r="B65" s="449" t="s">
        <v>861</v>
      </c>
      <c r="C65" s="450"/>
      <c r="D65" s="451"/>
      <c r="E65" s="452"/>
      <c r="F65" s="451"/>
      <c r="G65" s="451"/>
      <c r="H65" s="457"/>
      <c r="I65" s="457"/>
      <c r="J65" s="458"/>
      <c r="K65" s="458"/>
      <c r="L65" s="458"/>
      <c r="M65" s="458"/>
      <c r="N65" s="458"/>
      <c r="O65" s="458"/>
      <c r="P65" s="458"/>
      <c r="Q65" s="458"/>
      <c r="R65" s="454"/>
      <c r="S65" s="454"/>
      <c r="T65" s="642"/>
      <c r="U65" s="365"/>
      <c r="V65" s="366"/>
    </row>
    <row r="66" spans="1:23" x14ac:dyDescent="0.2">
      <c r="A66" s="486" t="s">
        <v>862</v>
      </c>
      <c r="B66" s="487" t="s">
        <v>863</v>
      </c>
      <c r="C66" s="488">
        <v>300</v>
      </c>
      <c r="D66" s="489">
        <v>300</v>
      </c>
      <c r="E66" s="562">
        <v>281.08</v>
      </c>
      <c r="F66" s="489">
        <v>300</v>
      </c>
      <c r="G66" s="443"/>
      <c r="H66" s="447">
        <v>16.079999999999998</v>
      </c>
      <c r="I66" s="447">
        <v>22.29</v>
      </c>
      <c r="J66" s="447">
        <v>38.49</v>
      </c>
      <c r="K66" s="447">
        <v>52.87</v>
      </c>
      <c r="L66" s="447">
        <v>94.52</v>
      </c>
      <c r="M66" s="447">
        <v>101.82</v>
      </c>
      <c r="N66" s="447">
        <v>101.82</v>
      </c>
      <c r="O66" s="447">
        <v>115.67</v>
      </c>
      <c r="P66" s="447">
        <v>122.63</v>
      </c>
      <c r="Q66" s="447">
        <v>139.04</v>
      </c>
      <c r="R66" s="447">
        <v>149.46</v>
      </c>
      <c r="S66" s="447"/>
      <c r="T66" s="641">
        <v>166.95</v>
      </c>
    </row>
    <row r="67" spans="1:23" x14ac:dyDescent="0.2">
      <c r="A67" s="486" t="s">
        <v>864</v>
      </c>
      <c r="B67" s="487" t="s">
        <v>865</v>
      </c>
      <c r="C67" s="488">
        <v>700</v>
      </c>
      <c r="D67" s="489">
        <v>700</v>
      </c>
      <c r="E67" s="562">
        <v>388.5</v>
      </c>
      <c r="F67" s="489">
        <v>400</v>
      </c>
      <c r="G67" s="443"/>
      <c r="H67" s="447">
        <v>29.74</v>
      </c>
      <c r="I67" s="447">
        <v>59.48</v>
      </c>
      <c r="J67" s="447">
        <v>89.22</v>
      </c>
      <c r="K67" s="447">
        <v>118.96</v>
      </c>
      <c r="L67" s="447">
        <v>148.69999999999999</v>
      </c>
      <c r="M67" s="447">
        <v>196.29</v>
      </c>
      <c r="N67" s="447">
        <v>196.29</v>
      </c>
      <c r="O67" s="447">
        <v>243.88</v>
      </c>
      <c r="P67" s="447">
        <v>291.47000000000003</v>
      </c>
      <c r="Q67" s="447">
        <v>339.06</v>
      </c>
      <c r="R67" s="447">
        <v>386.65</v>
      </c>
      <c r="S67" s="447"/>
      <c r="T67" s="640">
        <v>481.83</v>
      </c>
    </row>
    <row r="68" spans="1:23" x14ac:dyDescent="0.2">
      <c r="A68" s="486" t="s">
        <v>866</v>
      </c>
      <c r="B68" s="487" t="s">
        <v>867</v>
      </c>
      <c r="C68" s="488">
        <v>500</v>
      </c>
      <c r="D68" s="489">
        <v>500</v>
      </c>
      <c r="E68" s="562">
        <v>492.38</v>
      </c>
      <c r="F68" s="489">
        <v>500</v>
      </c>
      <c r="G68" s="443"/>
      <c r="H68" s="447">
        <v>80.72</v>
      </c>
      <c r="I68" s="447">
        <v>121.54</v>
      </c>
      <c r="J68" s="447">
        <v>150.47999999999999</v>
      </c>
      <c r="K68" s="447">
        <v>231.2</v>
      </c>
      <c r="L68" s="447">
        <v>260.14</v>
      </c>
      <c r="M68" s="447">
        <v>323.99</v>
      </c>
      <c r="N68" s="447">
        <v>345.8</v>
      </c>
      <c r="O68" s="447">
        <v>426.52</v>
      </c>
      <c r="P68" s="447">
        <v>455.46</v>
      </c>
      <c r="Q68" s="447">
        <v>499.28</v>
      </c>
      <c r="R68" s="455">
        <v>550.64</v>
      </c>
      <c r="S68" s="447"/>
      <c r="T68" s="640">
        <v>711.24</v>
      </c>
    </row>
    <row r="69" spans="1:23" x14ac:dyDescent="0.2">
      <c r="A69" s="486" t="s">
        <v>213</v>
      </c>
      <c r="B69" s="487" t="s">
        <v>868</v>
      </c>
      <c r="C69" s="488">
        <v>5000</v>
      </c>
      <c r="D69" s="489">
        <v>5000</v>
      </c>
      <c r="E69" s="565">
        <v>5031.4399999999996</v>
      </c>
      <c r="F69" s="489">
        <v>3500</v>
      </c>
      <c r="G69" s="443"/>
      <c r="H69" s="447">
        <v>74.78</v>
      </c>
      <c r="I69" s="447">
        <v>300.07</v>
      </c>
      <c r="J69" s="447">
        <v>525.36</v>
      </c>
      <c r="K69" s="447">
        <v>750.65</v>
      </c>
      <c r="L69" s="447">
        <v>975.94</v>
      </c>
      <c r="M69" s="447">
        <v>1201.23</v>
      </c>
      <c r="N69" s="447">
        <v>1201.23</v>
      </c>
      <c r="O69" s="447">
        <v>1426.52</v>
      </c>
      <c r="P69" s="447">
        <v>1651.81</v>
      </c>
      <c r="Q69" s="447">
        <v>1877.1</v>
      </c>
      <c r="R69" s="447">
        <v>2102.39</v>
      </c>
      <c r="S69" s="447"/>
      <c r="T69" s="641">
        <v>2552.9699999999998</v>
      </c>
    </row>
    <row r="70" spans="1:23" s="367" customFormat="1" x14ac:dyDescent="0.2">
      <c r="A70" s="448" t="s">
        <v>869</v>
      </c>
      <c r="B70" s="449" t="s">
        <v>870</v>
      </c>
      <c r="C70" s="450"/>
      <c r="D70" s="451"/>
      <c r="E70" s="452"/>
      <c r="F70" s="451"/>
      <c r="G70" s="451"/>
      <c r="H70" s="457"/>
      <c r="I70" s="457"/>
      <c r="J70" s="458"/>
      <c r="K70" s="458"/>
      <c r="L70" s="458"/>
      <c r="M70" s="458"/>
      <c r="N70" s="458"/>
      <c r="O70" s="458"/>
      <c r="P70" s="458"/>
      <c r="Q70" s="458"/>
      <c r="R70" s="454"/>
      <c r="S70" s="454"/>
      <c r="T70" s="642"/>
      <c r="U70" s="365"/>
      <c r="V70" s="366"/>
    </row>
    <row r="71" spans="1:23" x14ac:dyDescent="0.2">
      <c r="A71" s="486" t="s">
        <v>227</v>
      </c>
      <c r="B71" s="487" t="s">
        <v>871</v>
      </c>
      <c r="C71" s="488">
        <v>20000</v>
      </c>
      <c r="D71" s="489">
        <v>20000</v>
      </c>
      <c r="E71" s="562">
        <v>19341.61</v>
      </c>
      <c r="F71" s="489">
        <v>500</v>
      </c>
      <c r="G71" s="443"/>
      <c r="H71" s="445">
        <v>66.94</v>
      </c>
      <c r="I71" s="445">
        <v>66.94</v>
      </c>
      <c r="J71" s="447">
        <v>66.94</v>
      </c>
      <c r="K71" s="447">
        <v>66.94</v>
      </c>
      <c r="L71" s="455">
        <v>566.38</v>
      </c>
      <c r="M71" s="455">
        <v>566.38</v>
      </c>
      <c r="N71" s="455">
        <v>566.38</v>
      </c>
      <c r="O71" s="455">
        <v>848.29</v>
      </c>
      <c r="P71" s="455">
        <v>1095.5899999999999</v>
      </c>
      <c r="Q71" s="455">
        <v>1095.5899999999999</v>
      </c>
      <c r="R71" s="455">
        <v>1095.5899999999999</v>
      </c>
      <c r="S71" s="447"/>
      <c r="T71" s="641">
        <v>2053.25</v>
      </c>
    </row>
    <row r="72" spans="1:23" x14ac:dyDescent="0.2">
      <c r="A72" s="486" t="s">
        <v>872</v>
      </c>
      <c r="B72" s="487" t="s">
        <v>873</v>
      </c>
      <c r="C72" s="488">
        <v>2000</v>
      </c>
      <c r="D72" s="489">
        <v>2000</v>
      </c>
      <c r="E72" s="562">
        <v>51.85</v>
      </c>
      <c r="F72" s="489">
        <v>500</v>
      </c>
      <c r="G72" s="443"/>
      <c r="H72" s="445">
        <v>0</v>
      </c>
      <c r="I72" s="445">
        <v>0</v>
      </c>
      <c r="J72" s="447">
        <v>0</v>
      </c>
      <c r="K72" s="447">
        <v>0</v>
      </c>
      <c r="L72" s="447">
        <v>0</v>
      </c>
      <c r="M72" s="447">
        <v>0</v>
      </c>
      <c r="N72" s="447">
        <v>0</v>
      </c>
      <c r="O72" s="447">
        <v>0</v>
      </c>
      <c r="P72" s="447">
        <v>0</v>
      </c>
      <c r="Q72" s="447">
        <v>0</v>
      </c>
      <c r="R72" s="447">
        <v>0</v>
      </c>
      <c r="S72" s="447"/>
      <c r="T72" s="641">
        <v>0</v>
      </c>
    </row>
    <row r="73" spans="1:23" x14ac:dyDescent="0.2">
      <c r="A73" s="486" t="s">
        <v>874</v>
      </c>
      <c r="B73" s="487" t="s">
        <v>875</v>
      </c>
      <c r="C73" s="488">
        <v>1000</v>
      </c>
      <c r="D73" s="489">
        <v>1000</v>
      </c>
      <c r="E73" s="562">
        <v>554.65</v>
      </c>
      <c r="F73" s="489">
        <v>200</v>
      </c>
      <c r="G73" s="443"/>
      <c r="H73" s="445">
        <v>0</v>
      </c>
      <c r="I73" s="445">
        <v>0</v>
      </c>
      <c r="J73" s="447">
        <v>0</v>
      </c>
      <c r="K73" s="447">
        <v>0</v>
      </c>
      <c r="L73" s="447">
        <v>0</v>
      </c>
      <c r="M73" s="447">
        <v>0</v>
      </c>
      <c r="N73" s="447">
        <v>0</v>
      </c>
      <c r="O73" s="447">
        <v>0</v>
      </c>
      <c r="P73" s="447">
        <v>0</v>
      </c>
      <c r="Q73" s="447">
        <v>0</v>
      </c>
      <c r="R73" s="447">
        <v>0</v>
      </c>
      <c r="S73" s="447"/>
      <c r="T73" s="641">
        <v>0</v>
      </c>
    </row>
    <row r="74" spans="1:23" s="367" customFormat="1" x14ac:dyDescent="0.2">
      <c r="A74" s="448" t="s">
        <v>876</v>
      </c>
      <c r="B74" s="449" t="s">
        <v>877</v>
      </c>
      <c r="C74" s="450"/>
      <c r="D74" s="451"/>
      <c r="E74" s="452"/>
      <c r="F74" s="451"/>
      <c r="G74" s="451"/>
      <c r="H74" s="457"/>
      <c r="I74" s="457"/>
      <c r="J74" s="458"/>
      <c r="K74" s="458"/>
      <c r="L74" s="458"/>
      <c r="M74" s="458"/>
      <c r="N74" s="458"/>
      <c r="O74" s="458"/>
      <c r="P74" s="458"/>
      <c r="Q74" s="458"/>
      <c r="R74" s="454"/>
      <c r="S74" s="454"/>
      <c r="T74" s="642"/>
      <c r="U74" s="365"/>
      <c r="V74" s="366"/>
    </row>
    <row r="75" spans="1:23" x14ac:dyDescent="0.2">
      <c r="A75" s="486" t="s">
        <v>878</v>
      </c>
      <c r="B75" s="487" t="s">
        <v>879</v>
      </c>
      <c r="C75" s="488">
        <v>12000</v>
      </c>
      <c r="D75" s="489">
        <v>12000</v>
      </c>
      <c r="E75" s="565">
        <v>24638.14</v>
      </c>
      <c r="F75" s="489">
        <v>14000</v>
      </c>
      <c r="G75" s="443"/>
      <c r="H75" s="447">
        <v>918.81</v>
      </c>
      <c r="I75" s="447">
        <v>1868.56</v>
      </c>
      <c r="J75" s="447">
        <v>3096.77</v>
      </c>
      <c r="K75" s="447">
        <v>4015.58</v>
      </c>
      <c r="L75" s="447">
        <v>5058.1499999999996</v>
      </c>
      <c r="M75" s="447">
        <v>6159.63</v>
      </c>
      <c r="N75" s="447">
        <v>6159.63</v>
      </c>
      <c r="O75" s="447">
        <v>7780.54</v>
      </c>
      <c r="P75" s="447">
        <v>9061.11</v>
      </c>
      <c r="Q75" s="447">
        <v>10032.280000000001</v>
      </c>
      <c r="R75" s="447">
        <v>11371.76</v>
      </c>
      <c r="S75" s="455"/>
      <c r="T75" s="640">
        <v>14427.94</v>
      </c>
      <c r="U75" s="342">
        <f>F75*0.4+F68</f>
        <v>6100</v>
      </c>
      <c r="V75" s="563">
        <f>F75*0.6</f>
        <v>8400</v>
      </c>
      <c r="W75" s="342">
        <f>SUM(U75:V75)</f>
        <v>14500</v>
      </c>
    </row>
    <row r="76" spans="1:23" x14ac:dyDescent="0.2">
      <c r="A76" s="486" t="s">
        <v>230</v>
      </c>
      <c r="B76" s="487" t="s">
        <v>880</v>
      </c>
      <c r="C76" s="488">
        <v>600</v>
      </c>
      <c r="D76" s="489">
        <v>600</v>
      </c>
      <c r="E76" s="562">
        <v>166.74</v>
      </c>
      <c r="F76" s="489">
        <v>500</v>
      </c>
      <c r="G76" s="443"/>
      <c r="H76" s="447">
        <v>0</v>
      </c>
      <c r="I76" s="447">
        <v>41.95</v>
      </c>
      <c r="J76" s="447">
        <v>41.95</v>
      </c>
      <c r="K76" s="447">
        <v>41.95</v>
      </c>
      <c r="L76" s="447">
        <v>41.95</v>
      </c>
      <c r="M76" s="447">
        <v>83.9</v>
      </c>
      <c r="N76" s="447">
        <v>83.9</v>
      </c>
      <c r="O76" s="447">
        <v>83.9</v>
      </c>
      <c r="P76" s="447">
        <v>125.85</v>
      </c>
      <c r="Q76" s="447">
        <v>125.85</v>
      </c>
      <c r="R76" s="447">
        <v>125.85</v>
      </c>
      <c r="S76" s="447"/>
      <c r="T76" s="641">
        <v>125.85</v>
      </c>
    </row>
    <row r="77" spans="1:23" x14ac:dyDescent="0.2">
      <c r="A77" s="486" t="s">
        <v>881</v>
      </c>
      <c r="B77" s="487" t="s">
        <v>882</v>
      </c>
      <c r="C77" s="488">
        <v>2000</v>
      </c>
      <c r="D77" s="489">
        <v>2000</v>
      </c>
      <c r="E77" s="562">
        <v>402.72</v>
      </c>
      <c r="F77" s="489">
        <v>500</v>
      </c>
      <c r="G77" s="443"/>
      <c r="H77" s="447">
        <v>0</v>
      </c>
      <c r="I77" s="447">
        <v>0</v>
      </c>
      <c r="J77" s="447">
        <v>0</v>
      </c>
      <c r="K77" s="447">
        <v>33.82</v>
      </c>
      <c r="L77" s="447">
        <v>33.82</v>
      </c>
      <c r="M77" s="447">
        <v>120.12</v>
      </c>
      <c r="N77" s="447">
        <v>120.12</v>
      </c>
      <c r="O77" s="447">
        <v>143.80000000000001</v>
      </c>
      <c r="P77" s="447">
        <v>143.80000000000001</v>
      </c>
      <c r="Q77" s="447">
        <v>143.80000000000001</v>
      </c>
      <c r="R77" s="447">
        <v>143.80000000000001</v>
      </c>
      <c r="S77" s="447"/>
      <c r="T77" s="641">
        <v>207.16</v>
      </c>
    </row>
    <row r="78" spans="1:23" s="367" customFormat="1" x14ac:dyDescent="0.2">
      <c r="A78" s="448" t="s">
        <v>883</v>
      </c>
      <c r="B78" s="449" t="s">
        <v>884</v>
      </c>
      <c r="C78" s="450"/>
      <c r="D78" s="451"/>
      <c r="E78" s="452"/>
      <c r="F78" s="451"/>
      <c r="G78" s="451"/>
      <c r="H78" s="457"/>
      <c r="I78" s="457"/>
      <c r="J78" s="458"/>
      <c r="K78" s="458"/>
      <c r="L78" s="458"/>
      <c r="M78" s="458"/>
      <c r="N78" s="458"/>
      <c r="O78" s="458"/>
      <c r="P78" s="458"/>
      <c r="Q78" s="458"/>
      <c r="R78" s="454"/>
      <c r="S78" s="454"/>
      <c r="T78" s="642"/>
      <c r="U78" s="365"/>
      <c r="V78" s="366"/>
    </row>
    <row r="79" spans="1:23" x14ac:dyDescent="0.2">
      <c r="A79" s="486" t="s">
        <v>885</v>
      </c>
      <c r="B79" s="487" t="s">
        <v>886</v>
      </c>
      <c r="C79" s="488">
        <v>490.89</v>
      </c>
      <c r="D79" s="489">
        <v>490.89</v>
      </c>
      <c r="E79" s="562">
        <v>490.89</v>
      </c>
      <c r="F79" s="489">
        <v>500</v>
      </c>
      <c r="G79" s="443"/>
      <c r="H79" s="445">
        <v>0</v>
      </c>
      <c r="I79" s="445">
        <v>0</v>
      </c>
      <c r="J79" s="447">
        <v>490.89</v>
      </c>
      <c r="K79" s="447">
        <v>490.89</v>
      </c>
      <c r="L79" s="447">
        <v>490.89</v>
      </c>
      <c r="M79" s="447">
        <v>490.89</v>
      </c>
      <c r="N79" s="447">
        <v>490.89</v>
      </c>
      <c r="O79" s="447">
        <v>490.89</v>
      </c>
      <c r="P79" s="447">
        <v>490.89</v>
      </c>
      <c r="Q79" s="447">
        <v>490.89</v>
      </c>
      <c r="R79" s="447">
        <v>490.89</v>
      </c>
      <c r="S79" s="447"/>
      <c r="T79" s="641">
        <v>490.89</v>
      </c>
    </row>
    <row r="80" spans="1:23" x14ac:dyDescent="0.2">
      <c r="A80" s="486" t="s">
        <v>887</v>
      </c>
      <c r="B80" s="487" t="s">
        <v>888</v>
      </c>
      <c r="C80" s="488">
        <v>32.47</v>
      </c>
      <c r="D80" s="489">
        <v>32.47</v>
      </c>
      <c r="E80" s="562">
        <v>0</v>
      </c>
      <c r="F80" s="489">
        <v>35</v>
      </c>
      <c r="G80" s="443"/>
      <c r="H80" s="445">
        <v>0</v>
      </c>
      <c r="I80" s="445">
        <v>0</v>
      </c>
      <c r="J80" s="447">
        <v>0</v>
      </c>
      <c r="K80" s="447">
        <v>0</v>
      </c>
      <c r="L80" s="447">
        <v>0</v>
      </c>
      <c r="M80" s="447">
        <v>0</v>
      </c>
      <c r="N80" s="447">
        <v>0</v>
      </c>
      <c r="O80" s="447">
        <v>0</v>
      </c>
      <c r="P80" s="447">
        <v>0</v>
      </c>
      <c r="Q80" s="447">
        <v>0</v>
      </c>
      <c r="R80" s="447">
        <v>0</v>
      </c>
      <c r="S80" s="447"/>
      <c r="T80" s="641">
        <v>0</v>
      </c>
    </row>
    <row r="81" spans="1:24" s="367" customFormat="1" x14ac:dyDescent="0.2">
      <c r="A81" s="448" t="s">
        <v>889</v>
      </c>
      <c r="B81" s="449" t="s">
        <v>890</v>
      </c>
      <c r="C81" s="450"/>
      <c r="D81" s="451"/>
      <c r="E81" s="452"/>
      <c r="F81" s="451"/>
      <c r="G81" s="451"/>
      <c r="H81" s="457"/>
      <c r="I81" s="457"/>
      <c r="J81" s="458"/>
      <c r="K81" s="458"/>
      <c r="L81" s="458"/>
      <c r="M81" s="458"/>
      <c r="N81" s="458"/>
      <c r="O81" s="458"/>
      <c r="P81" s="458"/>
      <c r="Q81" s="458"/>
      <c r="R81" s="454"/>
      <c r="S81" s="454"/>
      <c r="T81" s="642"/>
      <c r="U81" s="365"/>
      <c r="V81" s="366"/>
    </row>
    <row r="82" spans="1:24" x14ac:dyDescent="0.2">
      <c r="A82" s="486" t="s">
        <v>185</v>
      </c>
      <c r="B82" s="487" t="s">
        <v>891</v>
      </c>
      <c r="C82" s="488">
        <v>1500</v>
      </c>
      <c r="D82" s="489">
        <v>1500</v>
      </c>
      <c r="E82" s="562">
        <v>0</v>
      </c>
      <c r="F82" s="489">
        <v>1500</v>
      </c>
      <c r="G82" s="443"/>
      <c r="H82" s="445">
        <v>0</v>
      </c>
      <c r="I82" s="445">
        <v>0</v>
      </c>
      <c r="J82" s="447">
        <v>0</v>
      </c>
      <c r="K82" s="447">
        <v>0</v>
      </c>
      <c r="L82" s="447">
        <v>0</v>
      </c>
      <c r="M82" s="447">
        <v>0</v>
      </c>
      <c r="N82" s="447">
        <v>0</v>
      </c>
      <c r="O82" s="447">
        <v>0</v>
      </c>
      <c r="P82" s="447">
        <v>0</v>
      </c>
      <c r="Q82" s="447">
        <v>0</v>
      </c>
      <c r="R82" s="447">
        <v>0</v>
      </c>
      <c r="S82" s="447"/>
      <c r="T82" s="641">
        <v>0</v>
      </c>
    </row>
    <row r="83" spans="1:24" x14ac:dyDescent="0.2">
      <c r="A83" s="486" t="s">
        <v>190</v>
      </c>
      <c r="B83" s="487" t="s">
        <v>892</v>
      </c>
      <c r="C83" s="488">
        <v>1500</v>
      </c>
      <c r="D83" s="489">
        <v>1500</v>
      </c>
      <c r="E83" s="562">
        <v>0</v>
      </c>
      <c r="F83" s="489">
        <v>1500</v>
      </c>
      <c r="G83" s="443"/>
      <c r="H83" s="445">
        <v>0</v>
      </c>
      <c r="I83" s="445">
        <v>0</v>
      </c>
      <c r="J83" s="447">
        <v>0</v>
      </c>
      <c r="K83" s="447">
        <v>0</v>
      </c>
      <c r="L83" s="447">
        <v>0</v>
      </c>
      <c r="M83" s="447">
        <v>0</v>
      </c>
      <c r="N83" s="447">
        <v>0</v>
      </c>
      <c r="O83" s="447">
        <v>0</v>
      </c>
      <c r="P83" s="447">
        <v>0</v>
      </c>
      <c r="Q83" s="447">
        <v>0</v>
      </c>
      <c r="R83" s="447">
        <v>0</v>
      </c>
      <c r="S83" s="447"/>
      <c r="T83" s="641">
        <v>0</v>
      </c>
    </row>
    <row r="84" spans="1:24" x14ac:dyDescent="0.2">
      <c r="A84" s="486" t="s">
        <v>188</v>
      </c>
      <c r="B84" s="487" t="s">
        <v>893</v>
      </c>
      <c r="C84" s="488">
        <v>1500</v>
      </c>
      <c r="D84" s="489">
        <v>1500</v>
      </c>
      <c r="E84" s="562">
        <v>0</v>
      </c>
      <c r="F84" s="489">
        <v>1000</v>
      </c>
      <c r="G84" s="443"/>
      <c r="H84" s="445">
        <v>0</v>
      </c>
      <c r="I84" s="445">
        <v>0</v>
      </c>
      <c r="J84" s="447">
        <v>0</v>
      </c>
      <c r="K84" s="447">
        <v>0</v>
      </c>
      <c r="L84" s="447">
        <v>149</v>
      </c>
      <c r="M84" s="447">
        <v>199</v>
      </c>
      <c r="N84" s="447">
        <v>199</v>
      </c>
      <c r="O84" s="447">
        <v>199</v>
      </c>
      <c r="P84" s="447">
        <v>199</v>
      </c>
      <c r="Q84" s="447">
        <v>199</v>
      </c>
      <c r="R84" s="447">
        <v>199</v>
      </c>
      <c r="S84" s="447"/>
      <c r="T84" s="641">
        <v>199</v>
      </c>
    </row>
    <row r="85" spans="1:24" s="367" customFormat="1" x14ac:dyDescent="0.2">
      <c r="A85" s="448" t="s">
        <v>894</v>
      </c>
      <c r="B85" s="449" t="s">
        <v>895</v>
      </c>
      <c r="C85" s="450"/>
      <c r="D85" s="451"/>
      <c r="E85" s="456"/>
      <c r="F85" s="451"/>
      <c r="G85" s="451"/>
      <c r="H85" s="457"/>
      <c r="I85" s="457"/>
      <c r="J85" s="458"/>
      <c r="K85" s="458"/>
      <c r="L85" s="458"/>
      <c r="M85" s="458"/>
      <c r="N85" s="458"/>
      <c r="O85" s="458"/>
      <c r="P85" s="458"/>
      <c r="Q85" s="458"/>
      <c r="R85" s="454"/>
      <c r="S85" s="458"/>
      <c r="T85" s="643"/>
      <c r="U85" s="365"/>
      <c r="V85" s="366"/>
    </row>
    <row r="86" spans="1:24" x14ac:dyDescent="0.2">
      <c r="A86" s="486" t="s">
        <v>896</v>
      </c>
      <c r="B86" s="487" t="s">
        <v>897</v>
      </c>
      <c r="C86" s="488">
        <v>25000</v>
      </c>
      <c r="D86" s="489">
        <v>15000</v>
      </c>
      <c r="E86" s="562">
        <v>5263.2</v>
      </c>
      <c r="F86" s="489">
        <v>10000</v>
      </c>
      <c r="G86" s="443"/>
      <c r="H86" s="445">
        <v>0</v>
      </c>
      <c r="I86" s="445">
        <v>0</v>
      </c>
      <c r="J86" s="447">
        <v>0</v>
      </c>
      <c r="K86" s="447">
        <v>0</v>
      </c>
      <c r="L86" s="447">
        <v>1951.6</v>
      </c>
      <c r="M86" s="447">
        <v>2195.5500000000002</v>
      </c>
      <c r="N86" s="447">
        <v>2195.5500000000002</v>
      </c>
      <c r="O86" s="447">
        <v>2814.35</v>
      </c>
      <c r="P86" s="447">
        <v>2814.35</v>
      </c>
      <c r="Q86" s="447">
        <v>2814.35</v>
      </c>
      <c r="R86" s="447">
        <v>3462.9</v>
      </c>
      <c r="S86" s="447"/>
      <c r="T86" s="641">
        <v>7761.38</v>
      </c>
    </row>
    <row r="87" spans="1:24" x14ac:dyDescent="0.2">
      <c r="A87" s="486" t="s">
        <v>416</v>
      </c>
      <c r="B87" s="487" t="s">
        <v>898</v>
      </c>
      <c r="C87" s="488">
        <v>4000</v>
      </c>
      <c r="D87" s="489">
        <v>4000</v>
      </c>
      <c r="E87" s="562">
        <v>4093.45</v>
      </c>
      <c r="F87" s="489">
        <v>5000</v>
      </c>
      <c r="G87" s="443"/>
      <c r="H87" s="445">
        <v>585.48</v>
      </c>
      <c r="I87" s="445">
        <v>585.48</v>
      </c>
      <c r="J87" s="447">
        <v>1026.97</v>
      </c>
      <c r="K87" s="447">
        <v>1362.85</v>
      </c>
      <c r="L87" s="447">
        <v>1663.92</v>
      </c>
      <c r="M87" s="447">
        <v>1937.03</v>
      </c>
      <c r="N87" s="447">
        <v>1937.03</v>
      </c>
      <c r="O87" s="447">
        <v>2226.1999999999998</v>
      </c>
      <c r="P87" s="447">
        <v>2499.31</v>
      </c>
      <c r="Q87" s="447">
        <v>2772.42</v>
      </c>
      <c r="R87" s="447">
        <v>3045.53</v>
      </c>
      <c r="S87" s="447"/>
      <c r="T87" s="641">
        <v>3663.15</v>
      </c>
    </row>
    <row r="88" spans="1:24" x14ac:dyDescent="0.2">
      <c r="A88" s="486" t="s">
        <v>419</v>
      </c>
      <c r="B88" s="487" t="s">
        <v>899</v>
      </c>
      <c r="C88" s="488">
        <v>1000</v>
      </c>
      <c r="D88" s="489">
        <v>1000</v>
      </c>
      <c r="E88" s="562">
        <v>0</v>
      </c>
      <c r="F88" s="489">
        <v>500</v>
      </c>
      <c r="G88" s="443"/>
      <c r="H88" s="445">
        <v>0</v>
      </c>
      <c r="I88" s="445">
        <v>0</v>
      </c>
      <c r="J88" s="447">
        <v>0</v>
      </c>
      <c r="K88" s="447">
        <v>0</v>
      </c>
      <c r="L88" s="447">
        <v>0</v>
      </c>
      <c r="M88" s="447">
        <v>0</v>
      </c>
      <c r="N88" s="447">
        <v>0</v>
      </c>
      <c r="O88" s="447">
        <v>0</v>
      </c>
      <c r="P88" s="447">
        <v>0</v>
      </c>
      <c r="Q88" s="447">
        <v>0</v>
      </c>
      <c r="R88" s="447">
        <v>0</v>
      </c>
      <c r="S88" s="447"/>
      <c r="T88" s="640">
        <v>1517.25</v>
      </c>
    </row>
    <row r="89" spans="1:24" s="367" customFormat="1" x14ac:dyDescent="0.2">
      <c r="A89" s="448" t="s">
        <v>900</v>
      </c>
      <c r="B89" s="449" t="s">
        <v>901</v>
      </c>
      <c r="C89" s="450"/>
      <c r="D89" s="451"/>
      <c r="E89" s="456"/>
      <c r="F89" s="451"/>
      <c r="G89" s="451"/>
      <c r="H89" s="457"/>
      <c r="I89" s="457"/>
      <c r="J89" s="458"/>
      <c r="K89" s="458"/>
      <c r="L89" s="458"/>
      <c r="M89" s="458"/>
      <c r="N89" s="458"/>
      <c r="O89" s="458"/>
      <c r="P89" s="458"/>
      <c r="Q89" s="458"/>
      <c r="R89" s="454"/>
      <c r="S89" s="458"/>
      <c r="T89" s="643"/>
      <c r="U89" s="365"/>
      <c r="V89" s="366"/>
    </row>
    <row r="90" spans="1:24" s="367" customFormat="1" x14ac:dyDescent="0.2">
      <c r="A90" s="448" t="s">
        <v>902</v>
      </c>
      <c r="B90" s="449" t="s">
        <v>903</v>
      </c>
      <c r="C90" s="450"/>
      <c r="D90" s="451"/>
      <c r="E90" s="456"/>
      <c r="F90" s="451"/>
      <c r="G90" s="451"/>
      <c r="H90" s="457"/>
      <c r="I90" s="457"/>
      <c r="J90" s="458"/>
      <c r="K90" s="458"/>
      <c r="L90" s="458"/>
      <c r="M90" s="458"/>
      <c r="N90" s="458"/>
      <c r="O90" s="458"/>
      <c r="P90" s="458"/>
      <c r="Q90" s="458"/>
      <c r="R90" s="454"/>
      <c r="S90" s="458"/>
      <c r="T90" s="643"/>
      <c r="U90" s="365"/>
      <c r="V90" s="366"/>
    </row>
    <row r="91" spans="1:24" x14ac:dyDescent="0.2">
      <c r="A91" s="486" t="s">
        <v>904</v>
      </c>
      <c r="B91" s="487" t="s">
        <v>905</v>
      </c>
      <c r="C91" s="442">
        <v>300</v>
      </c>
      <c r="D91" s="443">
        <v>300</v>
      </c>
      <c r="E91" s="446">
        <v>0</v>
      </c>
      <c r="F91" s="489">
        <v>300</v>
      </c>
      <c r="G91" s="443"/>
      <c r="H91" s="445">
        <v>0</v>
      </c>
      <c r="I91" s="445">
        <v>0</v>
      </c>
      <c r="J91" s="447">
        <v>0</v>
      </c>
      <c r="K91" s="447">
        <v>0</v>
      </c>
      <c r="L91" s="447">
        <v>0</v>
      </c>
      <c r="M91" s="447">
        <v>0</v>
      </c>
      <c r="N91" s="447">
        <v>0</v>
      </c>
      <c r="O91" s="447">
        <v>0</v>
      </c>
      <c r="P91" s="447">
        <v>0</v>
      </c>
      <c r="Q91" s="447">
        <v>0</v>
      </c>
      <c r="R91" s="447">
        <v>0</v>
      </c>
      <c r="S91" s="447"/>
      <c r="T91" s="641">
        <v>0</v>
      </c>
    </row>
    <row r="92" spans="1:24" x14ac:dyDescent="0.2">
      <c r="A92" s="486" t="s">
        <v>906</v>
      </c>
      <c r="B92" s="487" t="s">
        <v>907</v>
      </c>
      <c r="C92" s="442">
        <v>100</v>
      </c>
      <c r="D92" s="443">
        <v>100</v>
      </c>
      <c r="E92" s="446">
        <v>0</v>
      </c>
      <c r="F92" s="489">
        <v>0</v>
      </c>
      <c r="G92" s="443"/>
      <c r="H92" s="445">
        <v>0</v>
      </c>
      <c r="I92" s="445">
        <v>0</v>
      </c>
      <c r="J92" s="447">
        <v>0</v>
      </c>
      <c r="K92" s="447">
        <v>0</v>
      </c>
      <c r="L92" s="447">
        <v>0</v>
      </c>
      <c r="M92" s="447">
        <v>0</v>
      </c>
      <c r="N92" s="447">
        <v>0</v>
      </c>
      <c r="O92" s="447">
        <v>0</v>
      </c>
      <c r="P92" s="447">
        <v>0</v>
      </c>
      <c r="Q92" s="447">
        <v>0</v>
      </c>
      <c r="R92" s="447">
        <v>0</v>
      </c>
      <c r="S92" s="447"/>
      <c r="T92" s="641">
        <v>0</v>
      </c>
    </row>
    <row r="93" spans="1:24" x14ac:dyDescent="0.2">
      <c r="A93" s="486" t="s">
        <v>908</v>
      </c>
      <c r="B93" s="487" t="s">
        <v>909</v>
      </c>
      <c r="C93" s="442">
        <v>100</v>
      </c>
      <c r="D93" s="443">
        <v>100</v>
      </c>
      <c r="E93" s="446">
        <v>0</v>
      </c>
      <c r="F93" s="489">
        <v>100</v>
      </c>
      <c r="G93" s="443"/>
      <c r="H93" s="445">
        <v>0</v>
      </c>
      <c r="I93" s="445">
        <v>0</v>
      </c>
      <c r="J93" s="447">
        <v>0</v>
      </c>
      <c r="K93" s="447">
        <v>0</v>
      </c>
      <c r="L93" s="447">
        <v>0</v>
      </c>
      <c r="M93" s="447">
        <v>0</v>
      </c>
      <c r="N93" s="447">
        <v>0</v>
      </c>
      <c r="O93" s="447">
        <v>0</v>
      </c>
      <c r="P93" s="447">
        <v>0</v>
      </c>
      <c r="Q93" s="447">
        <v>0</v>
      </c>
      <c r="R93" s="447">
        <v>0</v>
      </c>
      <c r="S93" s="447"/>
      <c r="T93" s="641">
        <v>0</v>
      </c>
    </row>
    <row r="94" spans="1:24" s="367" customFormat="1" x14ac:dyDescent="0.2">
      <c r="A94" s="448" t="s">
        <v>910</v>
      </c>
      <c r="B94" s="449" t="s">
        <v>911</v>
      </c>
      <c r="C94" s="450"/>
      <c r="D94" s="451"/>
      <c r="E94" s="456"/>
      <c r="F94" s="451"/>
      <c r="G94" s="451"/>
      <c r="H94" s="457"/>
      <c r="I94" s="457"/>
      <c r="J94" s="458"/>
      <c r="K94" s="458"/>
      <c r="L94" s="458"/>
      <c r="M94" s="458"/>
      <c r="N94" s="458"/>
      <c r="O94" s="458"/>
      <c r="P94" s="458"/>
      <c r="Q94" s="458"/>
      <c r="R94" s="454"/>
      <c r="S94" s="458"/>
      <c r="T94" s="643"/>
      <c r="U94" s="365"/>
      <c r="V94" s="366"/>
    </row>
    <row r="95" spans="1:24" x14ac:dyDescent="0.2">
      <c r="A95" s="486" t="s">
        <v>912</v>
      </c>
      <c r="B95" s="487" t="s">
        <v>913</v>
      </c>
      <c r="C95" s="442">
        <v>35000</v>
      </c>
      <c r="D95" s="443">
        <v>23000</v>
      </c>
      <c r="E95" s="446">
        <v>9247.4</v>
      </c>
      <c r="F95" s="489">
        <v>25000</v>
      </c>
      <c r="G95" s="443"/>
      <c r="H95" s="447">
        <v>952.75</v>
      </c>
      <c r="I95" s="447">
        <v>3316.7</v>
      </c>
      <c r="J95" s="447">
        <v>4044.6</v>
      </c>
      <c r="K95" s="447">
        <v>4691.7</v>
      </c>
      <c r="L95" s="447">
        <v>4834.42</v>
      </c>
      <c r="M95" s="447">
        <v>5209.97</v>
      </c>
      <c r="N95" s="447">
        <v>5286.17</v>
      </c>
      <c r="O95" s="447">
        <v>5723.01</v>
      </c>
      <c r="P95" s="447">
        <v>5924.71</v>
      </c>
      <c r="Q95" s="447">
        <v>6248.21</v>
      </c>
      <c r="R95" s="447">
        <v>6284.66</v>
      </c>
      <c r="S95" s="447"/>
      <c r="T95" s="641">
        <v>6559.06</v>
      </c>
      <c r="U95" s="342" t="s">
        <v>261</v>
      </c>
      <c r="X95" s="514">
        <f>F96+F97+F99+F100+F102+F103</f>
        <v>10350</v>
      </c>
    </row>
    <row r="96" spans="1:24" x14ac:dyDescent="0.2">
      <c r="A96" s="486" t="s">
        <v>914</v>
      </c>
      <c r="B96" s="487" t="s">
        <v>915</v>
      </c>
      <c r="C96" s="488">
        <v>2000</v>
      </c>
      <c r="D96" s="489">
        <v>2000</v>
      </c>
      <c r="E96" s="562">
        <v>290</v>
      </c>
      <c r="F96" s="489">
        <v>2500</v>
      </c>
      <c r="G96" s="443"/>
      <c r="H96" s="447">
        <v>0</v>
      </c>
      <c r="I96" s="447">
        <v>1542.54</v>
      </c>
      <c r="J96" s="447">
        <v>1542.54</v>
      </c>
      <c r="K96" s="447">
        <v>1542.54</v>
      </c>
      <c r="L96" s="447">
        <v>1542.54</v>
      </c>
      <c r="M96" s="447">
        <v>1542.54</v>
      </c>
      <c r="N96" s="447">
        <v>1542.54</v>
      </c>
      <c r="O96" s="447">
        <v>1542.54</v>
      </c>
      <c r="P96" s="447">
        <v>1542.54</v>
      </c>
      <c r="Q96" s="447">
        <v>1542.54</v>
      </c>
      <c r="R96" s="447">
        <v>1542.54</v>
      </c>
      <c r="S96" s="447"/>
      <c r="T96" s="641">
        <v>1542.54</v>
      </c>
    </row>
    <row r="97" spans="1:25" x14ac:dyDescent="0.2">
      <c r="A97" s="486" t="s">
        <v>916</v>
      </c>
      <c r="B97" s="487" t="s">
        <v>917</v>
      </c>
      <c r="C97" s="488">
        <v>12000</v>
      </c>
      <c r="D97" s="489">
        <v>12000</v>
      </c>
      <c r="E97" s="562">
        <v>2049.5300000000002</v>
      </c>
      <c r="F97" s="489">
        <v>6000</v>
      </c>
      <c r="G97" s="443"/>
      <c r="H97" s="447">
        <v>72</v>
      </c>
      <c r="I97" s="447">
        <v>2589.4299999999998</v>
      </c>
      <c r="J97" s="447">
        <v>2589.4299999999998</v>
      </c>
      <c r="K97" s="447">
        <v>2737.03</v>
      </c>
      <c r="L97" s="447">
        <v>2737.03</v>
      </c>
      <c r="M97" s="447">
        <v>2737.03</v>
      </c>
      <c r="N97" s="447">
        <v>2809.03</v>
      </c>
      <c r="O97" s="447">
        <v>2809.03</v>
      </c>
      <c r="P97" s="447">
        <v>2809.03</v>
      </c>
      <c r="Q97" s="447">
        <v>2809.03</v>
      </c>
      <c r="R97" s="447">
        <v>2809.03</v>
      </c>
      <c r="S97" s="447"/>
      <c r="T97" s="641">
        <v>2905.03</v>
      </c>
    </row>
    <row r="98" spans="1:25" x14ac:dyDescent="0.2">
      <c r="A98" s="486" t="s">
        <v>918</v>
      </c>
      <c r="B98" s="487" t="s">
        <v>919</v>
      </c>
      <c r="C98" s="488">
        <v>12000</v>
      </c>
      <c r="D98" s="489">
        <v>12000</v>
      </c>
      <c r="E98" s="562">
        <v>1534.52</v>
      </c>
      <c r="F98" s="489">
        <v>7000</v>
      </c>
      <c r="G98" s="443"/>
      <c r="H98" s="447">
        <v>6</v>
      </c>
      <c r="I98" s="447">
        <v>1048.8599999999999</v>
      </c>
      <c r="J98" s="447">
        <v>1390.86</v>
      </c>
      <c r="K98" s="447">
        <v>1390.86</v>
      </c>
      <c r="L98" s="447">
        <v>1467.86</v>
      </c>
      <c r="M98" s="447">
        <v>1467.86</v>
      </c>
      <c r="N98" s="447">
        <v>1467.86</v>
      </c>
      <c r="O98" s="447">
        <v>2241.86</v>
      </c>
      <c r="P98" s="447">
        <v>2280.86</v>
      </c>
      <c r="Q98" s="447">
        <v>2350.86</v>
      </c>
      <c r="R98" s="447">
        <v>3093.11</v>
      </c>
      <c r="S98" s="447"/>
      <c r="T98" s="641">
        <v>3180.51</v>
      </c>
    </row>
    <row r="99" spans="1:25" x14ac:dyDescent="0.15">
      <c r="A99" s="573" t="s">
        <v>920</v>
      </c>
      <c r="B99" s="574" t="s">
        <v>921</v>
      </c>
      <c r="C99" s="575">
        <v>1000</v>
      </c>
      <c r="D99" s="576">
        <v>1000</v>
      </c>
      <c r="E99" s="562">
        <v>160</v>
      </c>
      <c r="F99" s="577">
        <v>500</v>
      </c>
      <c r="G99" s="466"/>
      <c r="H99" s="467">
        <v>0</v>
      </c>
      <c r="I99" s="447">
        <v>0</v>
      </c>
      <c r="J99" s="447">
        <v>0</v>
      </c>
      <c r="K99" s="447">
        <v>0</v>
      </c>
      <c r="L99" s="447">
        <v>0</v>
      </c>
      <c r="M99" s="447">
        <v>0</v>
      </c>
      <c r="N99" s="447">
        <v>0</v>
      </c>
      <c r="O99" s="447">
        <v>0</v>
      </c>
      <c r="P99" s="447">
        <v>0</v>
      </c>
      <c r="Q99" s="447">
        <v>0</v>
      </c>
      <c r="R99" s="447">
        <v>0</v>
      </c>
      <c r="S99" s="447"/>
      <c r="T99" s="641">
        <v>0</v>
      </c>
    </row>
    <row r="100" spans="1:25" x14ac:dyDescent="0.15">
      <c r="A100" s="568" t="s">
        <v>922</v>
      </c>
      <c r="B100" s="569" t="s">
        <v>923</v>
      </c>
      <c r="C100" s="578">
        <v>4000</v>
      </c>
      <c r="D100" s="579">
        <v>4000</v>
      </c>
      <c r="E100" s="562">
        <v>132</v>
      </c>
      <c r="F100" s="567">
        <v>1000</v>
      </c>
      <c r="G100" s="469"/>
      <c r="H100" s="470">
        <v>168</v>
      </c>
      <c r="I100" s="447">
        <v>168</v>
      </c>
      <c r="J100" s="447">
        <v>168</v>
      </c>
      <c r="K100" s="447">
        <v>168</v>
      </c>
      <c r="L100" s="447">
        <v>168</v>
      </c>
      <c r="M100" s="447">
        <v>168</v>
      </c>
      <c r="N100" s="447">
        <v>168</v>
      </c>
      <c r="O100" s="447">
        <v>240</v>
      </c>
      <c r="P100" s="447">
        <v>240</v>
      </c>
      <c r="Q100" s="447">
        <v>360</v>
      </c>
      <c r="R100" s="447">
        <v>360</v>
      </c>
      <c r="S100" s="447"/>
      <c r="T100" s="641">
        <v>360</v>
      </c>
    </row>
    <row r="101" spans="1:25" x14ac:dyDescent="0.15">
      <c r="A101" s="568" t="s">
        <v>924</v>
      </c>
      <c r="B101" s="569" t="s">
        <v>925</v>
      </c>
      <c r="C101" s="578">
        <v>1000</v>
      </c>
      <c r="D101" s="579">
        <v>1000</v>
      </c>
      <c r="E101" s="562">
        <v>329.2</v>
      </c>
      <c r="F101" s="567">
        <v>500</v>
      </c>
      <c r="G101" s="469"/>
      <c r="H101" s="470">
        <v>106.2</v>
      </c>
      <c r="I101" s="447">
        <v>106.2</v>
      </c>
      <c r="J101" s="447">
        <v>106.2</v>
      </c>
      <c r="K101" s="447">
        <v>106.2</v>
      </c>
      <c r="L101" s="447">
        <v>356.8</v>
      </c>
      <c r="M101" s="447">
        <v>356.8</v>
      </c>
      <c r="N101" s="447">
        <v>356.8</v>
      </c>
      <c r="O101" s="447">
        <v>356.8</v>
      </c>
      <c r="P101" s="447">
        <v>482.45</v>
      </c>
      <c r="Q101" s="447">
        <v>482.45</v>
      </c>
      <c r="R101" s="447">
        <v>482.45</v>
      </c>
      <c r="S101" s="447"/>
      <c r="T101" s="641">
        <v>482.45</v>
      </c>
    </row>
    <row r="102" spans="1:25" x14ac:dyDescent="0.15">
      <c r="A102" s="568" t="s">
        <v>926</v>
      </c>
      <c r="B102" s="569" t="s">
        <v>927</v>
      </c>
      <c r="C102" s="578">
        <v>500</v>
      </c>
      <c r="D102" s="579">
        <v>500</v>
      </c>
      <c r="E102" s="562">
        <v>0</v>
      </c>
      <c r="F102" s="567">
        <v>100</v>
      </c>
      <c r="G102" s="469"/>
      <c r="H102" s="470">
        <v>0</v>
      </c>
      <c r="I102" s="447">
        <v>0</v>
      </c>
      <c r="J102" s="447">
        <v>0</v>
      </c>
      <c r="K102" s="447">
        <v>0</v>
      </c>
      <c r="L102" s="447">
        <v>0</v>
      </c>
      <c r="M102" s="447">
        <v>0</v>
      </c>
      <c r="N102" s="447">
        <v>0</v>
      </c>
      <c r="O102" s="447">
        <v>0</v>
      </c>
      <c r="P102" s="447">
        <v>0</v>
      </c>
      <c r="Q102" s="447">
        <v>0</v>
      </c>
      <c r="R102" s="447">
        <v>0</v>
      </c>
      <c r="S102" s="447"/>
      <c r="T102" s="641">
        <v>0</v>
      </c>
    </row>
    <row r="103" spans="1:25" x14ac:dyDescent="0.15">
      <c r="A103" s="580" t="s">
        <v>928</v>
      </c>
      <c r="B103" s="581" t="s">
        <v>929</v>
      </c>
      <c r="C103" s="582">
        <v>1000</v>
      </c>
      <c r="D103" s="583">
        <v>1000</v>
      </c>
      <c r="E103" s="562">
        <v>244</v>
      </c>
      <c r="F103" s="584">
        <v>250</v>
      </c>
      <c r="G103" s="471"/>
      <c r="H103" s="472">
        <v>0</v>
      </c>
      <c r="I103" s="447">
        <v>0</v>
      </c>
      <c r="J103" s="447">
        <v>0</v>
      </c>
      <c r="K103" s="447">
        <v>0</v>
      </c>
      <c r="L103" s="447">
        <v>0</v>
      </c>
      <c r="M103" s="447">
        <v>0</v>
      </c>
      <c r="N103" s="447">
        <v>0</v>
      </c>
      <c r="O103" s="447">
        <v>0</v>
      </c>
      <c r="P103" s="447">
        <v>0</v>
      </c>
      <c r="Q103" s="447">
        <v>0</v>
      </c>
      <c r="R103" s="447">
        <v>0</v>
      </c>
      <c r="S103" s="447"/>
      <c r="T103" s="641">
        <v>0</v>
      </c>
    </row>
    <row r="104" spans="1:25" s="367" customFormat="1" x14ac:dyDescent="0.2">
      <c r="A104" s="448" t="s">
        <v>930</v>
      </c>
      <c r="B104" s="449" t="s">
        <v>931</v>
      </c>
      <c r="C104" s="450"/>
      <c r="D104" s="451"/>
      <c r="E104" s="452"/>
      <c r="F104" s="451"/>
      <c r="G104" s="451"/>
      <c r="H104" s="457"/>
      <c r="I104" s="457"/>
      <c r="J104" s="458"/>
      <c r="K104" s="458"/>
      <c r="L104" s="458"/>
      <c r="M104" s="458"/>
      <c r="N104" s="458"/>
      <c r="O104" s="458"/>
      <c r="P104" s="458"/>
      <c r="Q104" s="458"/>
      <c r="R104" s="454"/>
      <c r="S104" s="454"/>
      <c r="T104" s="642"/>
      <c r="U104" s="365"/>
      <c r="V104" s="366"/>
    </row>
    <row r="105" spans="1:25" x14ac:dyDescent="0.15">
      <c r="A105" s="570" t="s">
        <v>932</v>
      </c>
      <c r="B105" s="571" t="s">
        <v>933</v>
      </c>
      <c r="C105" s="442">
        <v>20000</v>
      </c>
      <c r="D105" s="443">
        <v>14000</v>
      </c>
      <c r="E105" s="446">
        <v>4708.34</v>
      </c>
      <c r="F105" s="489">
        <v>10000</v>
      </c>
      <c r="G105" s="443"/>
      <c r="H105" s="473">
        <v>149.35</v>
      </c>
      <c r="I105" s="447">
        <v>468.79</v>
      </c>
      <c r="J105" s="447">
        <v>644.29</v>
      </c>
      <c r="K105" s="447">
        <v>836.19</v>
      </c>
      <c r="L105" s="447">
        <v>1571.22</v>
      </c>
      <c r="M105" s="447">
        <v>2032.66</v>
      </c>
      <c r="N105" s="447">
        <v>2138.86</v>
      </c>
      <c r="O105" s="447">
        <v>2138.86</v>
      </c>
      <c r="P105" s="447">
        <v>2599.1999999999998</v>
      </c>
      <c r="Q105" s="447">
        <v>2732.82</v>
      </c>
      <c r="R105" s="447">
        <v>2935.52</v>
      </c>
      <c r="S105" s="447"/>
      <c r="T105" s="641">
        <v>3531.01</v>
      </c>
      <c r="U105" s="342" t="s">
        <v>240</v>
      </c>
      <c r="Y105" s="514">
        <f>F105+F109+F112+F133+F152++F160+F170+F184</f>
        <v>17800</v>
      </c>
    </row>
    <row r="106" spans="1:25" x14ac:dyDescent="0.15">
      <c r="A106" s="570" t="s">
        <v>934</v>
      </c>
      <c r="B106" s="571" t="s">
        <v>935</v>
      </c>
      <c r="C106" s="442">
        <v>2500</v>
      </c>
      <c r="D106" s="443">
        <v>7500</v>
      </c>
      <c r="E106" s="446">
        <v>80</v>
      </c>
      <c r="F106" s="489">
        <v>1000</v>
      </c>
      <c r="G106" s="443"/>
      <c r="H106" s="473">
        <v>0</v>
      </c>
      <c r="I106" s="447">
        <v>0</v>
      </c>
      <c r="J106" s="447">
        <v>0</v>
      </c>
      <c r="K106" s="447">
        <v>0</v>
      </c>
      <c r="L106" s="447">
        <v>0</v>
      </c>
      <c r="M106" s="447">
        <v>0</v>
      </c>
      <c r="N106" s="447">
        <v>0</v>
      </c>
      <c r="O106" s="447">
        <v>0</v>
      </c>
      <c r="P106" s="447">
        <v>0</v>
      </c>
      <c r="Q106" s="447">
        <v>0</v>
      </c>
      <c r="R106" s="447">
        <v>0</v>
      </c>
      <c r="S106" s="447"/>
      <c r="T106" s="641">
        <v>0</v>
      </c>
      <c r="U106" s="342" t="s">
        <v>264</v>
      </c>
      <c r="Y106" s="514">
        <f>F106+F107+F110+F111+F113+F114++F172+F186</f>
        <v>5960</v>
      </c>
    </row>
    <row r="107" spans="1:25" x14ac:dyDescent="0.15">
      <c r="A107" s="570" t="s">
        <v>936</v>
      </c>
      <c r="B107" s="571" t="s">
        <v>937</v>
      </c>
      <c r="C107" s="442">
        <v>10000</v>
      </c>
      <c r="D107" s="443">
        <v>5000</v>
      </c>
      <c r="E107" s="446">
        <v>1169.4000000000001</v>
      </c>
      <c r="F107" s="489">
        <v>3500</v>
      </c>
      <c r="G107" s="443"/>
      <c r="H107" s="473">
        <v>168</v>
      </c>
      <c r="I107" s="447">
        <v>264</v>
      </c>
      <c r="J107" s="447">
        <v>312</v>
      </c>
      <c r="K107" s="447">
        <v>312</v>
      </c>
      <c r="L107" s="447">
        <v>404.2</v>
      </c>
      <c r="M107" s="447">
        <v>438.2</v>
      </c>
      <c r="N107" s="447">
        <v>438.2</v>
      </c>
      <c r="O107" s="447">
        <v>606.20000000000005</v>
      </c>
      <c r="P107" s="447">
        <v>822.2</v>
      </c>
      <c r="Q107" s="447">
        <v>942.2</v>
      </c>
      <c r="R107" s="447">
        <v>1014.2</v>
      </c>
      <c r="S107" s="447"/>
      <c r="T107" s="641">
        <v>1551.23</v>
      </c>
    </row>
    <row r="108" spans="1:25" s="367" customFormat="1" x14ac:dyDescent="0.2">
      <c r="A108" s="448" t="s">
        <v>938</v>
      </c>
      <c r="B108" s="449" t="s">
        <v>939</v>
      </c>
      <c r="C108" s="450"/>
      <c r="D108" s="451"/>
      <c r="E108" s="452"/>
      <c r="F108" s="451"/>
      <c r="G108" s="451"/>
      <c r="H108" s="457"/>
      <c r="I108" s="457"/>
      <c r="J108" s="458"/>
      <c r="K108" s="458"/>
      <c r="L108" s="458"/>
      <c r="M108" s="458"/>
      <c r="N108" s="458"/>
      <c r="O108" s="458"/>
      <c r="P108" s="458"/>
      <c r="Q108" s="458"/>
      <c r="R108" s="454"/>
      <c r="S108" s="454"/>
      <c r="T108" s="642"/>
      <c r="U108" s="365"/>
      <c r="V108" s="366"/>
    </row>
    <row r="109" spans="1:25" x14ac:dyDescent="0.15">
      <c r="A109" s="570" t="s">
        <v>940</v>
      </c>
      <c r="B109" s="571" t="s">
        <v>941</v>
      </c>
      <c r="C109" s="442">
        <v>1000</v>
      </c>
      <c r="D109" s="443">
        <v>1000</v>
      </c>
      <c r="E109" s="446">
        <v>312.39999999999998</v>
      </c>
      <c r="F109" s="489">
        <v>500</v>
      </c>
      <c r="G109" s="443"/>
      <c r="H109" s="474">
        <v>0</v>
      </c>
      <c r="I109" s="445">
        <v>0</v>
      </c>
      <c r="J109" s="447">
        <v>24.9</v>
      </c>
      <c r="K109" s="447">
        <v>24.9</v>
      </c>
      <c r="L109" s="447">
        <v>24.9</v>
      </c>
      <c r="M109" s="447">
        <v>24.9</v>
      </c>
      <c r="N109" s="447">
        <v>24.9</v>
      </c>
      <c r="O109" s="447">
        <v>24.9</v>
      </c>
      <c r="P109" s="447">
        <v>24.9</v>
      </c>
      <c r="Q109" s="447">
        <v>24.9</v>
      </c>
      <c r="R109" s="447">
        <v>24.9</v>
      </c>
      <c r="S109" s="447"/>
      <c r="T109" s="641">
        <v>24.9</v>
      </c>
    </row>
    <row r="110" spans="1:25" x14ac:dyDescent="0.15">
      <c r="A110" s="570" t="s">
        <v>942</v>
      </c>
      <c r="B110" s="571" t="s">
        <v>943</v>
      </c>
      <c r="C110" s="442">
        <v>100</v>
      </c>
      <c r="D110" s="443">
        <v>100</v>
      </c>
      <c r="E110" s="446">
        <v>0</v>
      </c>
      <c r="F110" s="489">
        <v>0</v>
      </c>
      <c r="G110" s="443"/>
      <c r="H110" s="474">
        <v>0</v>
      </c>
      <c r="I110" s="445">
        <v>0</v>
      </c>
      <c r="J110" s="447">
        <v>0</v>
      </c>
      <c r="K110" s="447">
        <v>0</v>
      </c>
      <c r="L110" s="447">
        <v>0</v>
      </c>
      <c r="M110" s="447">
        <v>0</v>
      </c>
      <c r="N110" s="447">
        <v>0</v>
      </c>
      <c r="O110" s="447">
        <v>0</v>
      </c>
      <c r="P110" s="447">
        <v>0</v>
      </c>
      <c r="Q110" s="447">
        <v>0</v>
      </c>
      <c r="R110" s="447">
        <v>0</v>
      </c>
      <c r="S110" s="447"/>
      <c r="T110" s="641">
        <v>0</v>
      </c>
    </row>
    <row r="111" spans="1:25" x14ac:dyDescent="0.15">
      <c r="A111" s="570" t="s">
        <v>944</v>
      </c>
      <c r="B111" s="571" t="s">
        <v>945</v>
      </c>
      <c r="C111" s="442">
        <v>200</v>
      </c>
      <c r="D111" s="443">
        <v>200</v>
      </c>
      <c r="E111" s="446">
        <v>0</v>
      </c>
      <c r="F111" s="489">
        <v>100</v>
      </c>
      <c r="G111" s="443"/>
      <c r="H111" s="474">
        <v>0</v>
      </c>
      <c r="I111" s="445">
        <v>0</v>
      </c>
      <c r="J111" s="447">
        <v>0</v>
      </c>
      <c r="K111" s="447">
        <v>0</v>
      </c>
      <c r="L111" s="447">
        <v>0</v>
      </c>
      <c r="M111" s="447">
        <v>0</v>
      </c>
      <c r="N111" s="447">
        <v>0</v>
      </c>
      <c r="O111" s="447">
        <v>0</v>
      </c>
      <c r="P111" s="447">
        <v>0</v>
      </c>
      <c r="Q111" s="447">
        <v>0</v>
      </c>
      <c r="R111" s="447">
        <v>0</v>
      </c>
      <c r="S111" s="447"/>
      <c r="T111" s="641">
        <v>0</v>
      </c>
    </row>
    <row r="112" spans="1:25" x14ac:dyDescent="0.15">
      <c r="A112" s="570" t="s">
        <v>946</v>
      </c>
      <c r="B112" s="571" t="s">
        <v>947</v>
      </c>
      <c r="C112" s="442">
        <v>1500</v>
      </c>
      <c r="D112" s="443">
        <v>1500</v>
      </c>
      <c r="E112" s="446">
        <v>0</v>
      </c>
      <c r="F112" s="489">
        <v>300</v>
      </c>
      <c r="G112" s="443"/>
      <c r="H112" s="474">
        <v>0</v>
      </c>
      <c r="I112" s="445">
        <v>0</v>
      </c>
      <c r="J112" s="447">
        <v>0</v>
      </c>
      <c r="K112" s="447">
        <v>0</v>
      </c>
      <c r="L112" s="447">
        <v>0</v>
      </c>
      <c r="M112" s="447">
        <v>0</v>
      </c>
      <c r="N112" s="447">
        <v>0</v>
      </c>
      <c r="O112" s="447">
        <v>0</v>
      </c>
      <c r="P112" s="447">
        <v>0</v>
      </c>
      <c r="Q112" s="447">
        <v>0</v>
      </c>
      <c r="R112" s="447">
        <v>0</v>
      </c>
      <c r="S112" s="447"/>
      <c r="T112" s="641">
        <v>0</v>
      </c>
    </row>
    <row r="113" spans="1:22" x14ac:dyDescent="0.15">
      <c r="A113" s="570" t="s">
        <v>948</v>
      </c>
      <c r="B113" s="571" t="s">
        <v>949</v>
      </c>
      <c r="C113" s="442">
        <v>160</v>
      </c>
      <c r="D113" s="443">
        <v>160</v>
      </c>
      <c r="E113" s="446">
        <v>0</v>
      </c>
      <c r="F113" s="489">
        <v>160</v>
      </c>
      <c r="G113" s="443"/>
      <c r="H113" s="474">
        <v>0</v>
      </c>
      <c r="I113" s="445">
        <v>0</v>
      </c>
      <c r="J113" s="447">
        <v>0</v>
      </c>
      <c r="K113" s="447">
        <v>0</v>
      </c>
      <c r="L113" s="447">
        <v>0</v>
      </c>
      <c r="M113" s="447">
        <v>0</v>
      </c>
      <c r="N113" s="447">
        <v>0</v>
      </c>
      <c r="O113" s="447">
        <v>0</v>
      </c>
      <c r="P113" s="447">
        <v>0</v>
      </c>
      <c r="Q113" s="447">
        <v>0</v>
      </c>
      <c r="R113" s="447">
        <v>0</v>
      </c>
      <c r="S113" s="447"/>
      <c r="T113" s="641">
        <v>0</v>
      </c>
    </row>
    <row r="114" spans="1:22" x14ac:dyDescent="0.15">
      <c r="A114" s="570" t="s">
        <v>950</v>
      </c>
      <c r="B114" s="571" t="s">
        <v>951</v>
      </c>
      <c r="C114" s="442">
        <v>1000</v>
      </c>
      <c r="D114" s="443">
        <v>1000</v>
      </c>
      <c r="E114" s="446">
        <v>0</v>
      </c>
      <c r="F114" s="489">
        <v>200</v>
      </c>
      <c r="G114" s="443"/>
      <c r="H114" s="474">
        <v>0</v>
      </c>
      <c r="I114" s="445">
        <v>0</v>
      </c>
      <c r="J114" s="447">
        <v>0</v>
      </c>
      <c r="K114" s="447">
        <v>0</v>
      </c>
      <c r="L114" s="447">
        <v>0</v>
      </c>
      <c r="M114" s="447">
        <v>0</v>
      </c>
      <c r="N114" s="447">
        <v>0</v>
      </c>
      <c r="O114" s="447">
        <v>0</v>
      </c>
      <c r="P114" s="447">
        <v>0</v>
      </c>
      <c r="Q114" s="447">
        <v>0</v>
      </c>
      <c r="R114" s="447">
        <v>0</v>
      </c>
      <c r="S114" s="447"/>
      <c r="T114" s="641">
        <v>0</v>
      </c>
    </row>
    <row r="115" spans="1:22" s="367" customFormat="1" x14ac:dyDescent="0.2">
      <c r="A115" s="448" t="s">
        <v>952</v>
      </c>
      <c r="B115" s="449" t="s">
        <v>953</v>
      </c>
      <c r="C115" s="450"/>
      <c r="D115" s="451"/>
      <c r="E115" s="452"/>
      <c r="F115" s="451"/>
      <c r="G115" s="451"/>
      <c r="H115" s="457"/>
      <c r="I115" s="457"/>
      <c r="J115" s="458"/>
      <c r="K115" s="458"/>
      <c r="L115" s="458"/>
      <c r="M115" s="458"/>
      <c r="N115" s="458"/>
      <c r="O115" s="458"/>
      <c r="P115" s="458"/>
      <c r="Q115" s="458"/>
      <c r="R115" s="458"/>
      <c r="S115" s="454"/>
      <c r="T115" s="642"/>
      <c r="U115" s="365"/>
      <c r="V115" s="366"/>
    </row>
    <row r="116" spans="1:22" x14ac:dyDescent="0.2">
      <c r="A116" s="486" t="s">
        <v>954</v>
      </c>
      <c r="B116" s="487" t="s">
        <v>955</v>
      </c>
      <c r="C116" s="488">
        <v>2500</v>
      </c>
      <c r="D116" s="489">
        <v>2500</v>
      </c>
      <c r="E116" s="562">
        <v>575.6</v>
      </c>
      <c r="F116" s="489">
        <v>1500</v>
      </c>
      <c r="G116" s="443"/>
      <c r="H116" s="445">
        <v>0</v>
      </c>
      <c r="I116" s="445">
        <v>0</v>
      </c>
      <c r="J116" s="447">
        <v>0</v>
      </c>
      <c r="K116" s="447">
        <v>12.8</v>
      </c>
      <c r="L116" s="447">
        <v>253.4</v>
      </c>
      <c r="M116" s="447">
        <v>277.39999999999998</v>
      </c>
      <c r="N116" s="447">
        <v>277.39999999999998</v>
      </c>
      <c r="O116" s="447">
        <v>277.39999999999998</v>
      </c>
      <c r="P116" s="447">
        <v>296</v>
      </c>
      <c r="Q116" s="447">
        <v>296</v>
      </c>
      <c r="R116" s="447">
        <v>296</v>
      </c>
      <c r="S116" s="447"/>
      <c r="T116" s="641">
        <v>296</v>
      </c>
    </row>
    <row r="117" spans="1:22" x14ac:dyDescent="0.2">
      <c r="A117" s="486" t="s">
        <v>956</v>
      </c>
      <c r="B117" s="487" t="s">
        <v>957</v>
      </c>
      <c r="C117" s="488">
        <v>300</v>
      </c>
      <c r="D117" s="489">
        <v>300</v>
      </c>
      <c r="E117" s="562">
        <v>242.6</v>
      </c>
      <c r="F117" s="489">
        <v>100</v>
      </c>
      <c r="G117" s="443"/>
      <c r="H117" s="445">
        <v>0</v>
      </c>
      <c r="I117" s="445">
        <v>0</v>
      </c>
      <c r="J117" s="447">
        <v>0</v>
      </c>
      <c r="K117" s="447">
        <v>0</v>
      </c>
      <c r="L117" s="447">
        <v>0</v>
      </c>
      <c r="M117" s="447">
        <v>0</v>
      </c>
      <c r="N117" s="447">
        <v>0</v>
      </c>
      <c r="O117" s="447">
        <v>0</v>
      </c>
      <c r="P117" s="447">
        <v>0</v>
      </c>
      <c r="Q117" s="447">
        <v>0</v>
      </c>
      <c r="R117" s="447">
        <v>0</v>
      </c>
      <c r="S117" s="447"/>
      <c r="T117" s="641">
        <v>0</v>
      </c>
    </row>
    <row r="118" spans="1:22" s="367" customFormat="1" x14ac:dyDescent="0.2">
      <c r="A118" s="448" t="s">
        <v>958</v>
      </c>
      <c r="B118" s="449" t="s">
        <v>959</v>
      </c>
      <c r="C118" s="450"/>
      <c r="D118" s="451"/>
      <c r="E118" s="452"/>
      <c r="F118" s="451"/>
      <c r="G118" s="451"/>
      <c r="H118" s="457"/>
      <c r="I118" s="457"/>
      <c r="J118" s="458"/>
      <c r="K118" s="458"/>
      <c r="L118" s="458"/>
      <c r="M118" s="458"/>
      <c r="N118" s="458"/>
      <c r="O118" s="458"/>
      <c r="P118" s="458"/>
      <c r="Q118" s="458"/>
      <c r="R118" s="458"/>
      <c r="S118" s="454"/>
      <c r="T118" s="642"/>
      <c r="U118" s="365"/>
      <c r="V118" s="366"/>
    </row>
    <row r="119" spans="1:22" x14ac:dyDescent="0.2">
      <c r="A119" s="486" t="s">
        <v>259</v>
      </c>
      <c r="B119" s="487" t="s">
        <v>960</v>
      </c>
      <c r="C119" s="488">
        <v>4000</v>
      </c>
      <c r="D119" s="489">
        <v>4000</v>
      </c>
      <c r="E119" s="562">
        <v>375.85</v>
      </c>
      <c r="F119" s="489">
        <v>2500</v>
      </c>
      <c r="G119" s="443"/>
      <c r="H119" s="447">
        <v>141.62</v>
      </c>
      <c r="I119" s="447">
        <v>152.84</v>
      </c>
      <c r="J119" s="447">
        <v>301.83999999999997</v>
      </c>
      <c r="K119" s="447">
        <v>323.82</v>
      </c>
      <c r="L119" s="447">
        <v>333.3</v>
      </c>
      <c r="M119" s="447">
        <v>380.21</v>
      </c>
      <c r="N119" s="447">
        <v>380.21</v>
      </c>
      <c r="O119" s="447">
        <v>435.43</v>
      </c>
      <c r="P119" s="447">
        <v>512.32000000000005</v>
      </c>
      <c r="Q119" s="447">
        <v>512.32000000000005</v>
      </c>
      <c r="R119" s="447">
        <v>596.82000000000005</v>
      </c>
      <c r="S119" s="447"/>
      <c r="T119" s="641">
        <v>732.35</v>
      </c>
    </row>
    <row r="120" spans="1:22" x14ac:dyDescent="0.2">
      <c r="A120" s="486" t="s">
        <v>260</v>
      </c>
      <c r="B120" s="487" t="s">
        <v>961</v>
      </c>
      <c r="C120" s="488">
        <v>8000</v>
      </c>
      <c r="D120" s="489">
        <v>8000</v>
      </c>
      <c r="E120" s="562">
        <v>147.28</v>
      </c>
      <c r="F120" s="489">
        <v>2500</v>
      </c>
      <c r="G120" s="443"/>
      <c r="H120" s="447">
        <v>31.37</v>
      </c>
      <c r="I120" s="447">
        <v>1797.03</v>
      </c>
      <c r="J120" s="447">
        <v>1797.03</v>
      </c>
      <c r="K120" s="447">
        <v>1797.03</v>
      </c>
      <c r="L120" s="447">
        <v>1797.03</v>
      </c>
      <c r="M120" s="447">
        <v>1797.03</v>
      </c>
      <c r="N120" s="447">
        <v>1797.03</v>
      </c>
      <c r="O120" s="447">
        <v>1797.03</v>
      </c>
      <c r="P120" s="447">
        <v>1797.03</v>
      </c>
      <c r="Q120" s="447">
        <v>1797.03</v>
      </c>
      <c r="R120" s="447">
        <v>1810.85</v>
      </c>
      <c r="S120" s="447"/>
      <c r="T120" s="641">
        <v>1810.85</v>
      </c>
    </row>
    <row r="121" spans="1:22" x14ac:dyDescent="0.2">
      <c r="A121" s="486" t="s">
        <v>263</v>
      </c>
      <c r="B121" s="487" t="s">
        <v>962</v>
      </c>
      <c r="C121" s="488">
        <v>500</v>
      </c>
      <c r="D121" s="489">
        <v>500</v>
      </c>
      <c r="E121" s="562">
        <v>0</v>
      </c>
      <c r="F121" s="489">
        <v>100</v>
      </c>
      <c r="G121" s="443"/>
      <c r="H121" s="447">
        <v>0</v>
      </c>
      <c r="I121" s="447">
        <v>0</v>
      </c>
      <c r="J121" s="447">
        <v>0</v>
      </c>
      <c r="K121" s="447">
        <v>0</v>
      </c>
      <c r="L121" s="447">
        <v>0</v>
      </c>
      <c r="M121" s="447">
        <v>0</v>
      </c>
      <c r="N121" s="447">
        <v>0</v>
      </c>
      <c r="O121" s="447">
        <v>0</v>
      </c>
      <c r="P121" s="447">
        <v>0</v>
      </c>
      <c r="Q121" s="447">
        <v>0</v>
      </c>
      <c r="R121" s="447">
        <v>0</v>
      </c>
      <c r="S121" s="447"/>
      <c r="T121" s="641">
        <v>0</v>
      </c>
    </row>
    <row r="122" spans="1:22" s="367" customFormat="1" x14ac:dyDescent="0.2">
      <c r="A122" s="448"/>
      <c r="B122" s="449" t="s">
        <v>963</v>
      </c>
      <c r="C122" s="450"/>
      <c r="D122" s="451"/>
      <c r="E122" s="452"/>
      <c r="F122" s="451"/>
      <c r="G122" s="451"/>
      <c r="H122" s="457"/>
      <c r="I122" s="457"/>
      <c r="J122" s="458"/>
      <c r="K122" s="458"/>
      <c r="L122" s="458"/>
      <c r="M122" s="458"/>
      <c r="N122" s="458"/>
      <c r="O122" s="458"/>
      <c r="P122" s="458"/>
      <c r="Q122" s="458"/>
      <c r="R122" s="454"/>
      <c r="S122" s="458"/>
      <c r="T122" s="642"/>
      <c r="U122" s="365"/>
      <c r="V122" s="366"/>
    </row>
    <row r="123" spans="1:22" x14ac:dyDescent="0.2">
      <c r="A123" s="486" t="s">
        <v>287</v>
      </c>
      <c r="B123" s="487" t="s">
        <v>964</v>
      </c>
      <c r="C123" s="488">
        <v>140000</v>
      </c>
      <c r="D123" s="489">
        <v>140000</v>
      </c>
      <c r="E123" s="565">
        <v>140111.16</v>
      </c>
      <c r="F123" s="489">
        <v>155000</v>
      </c>
      <c r="G123" s="443"/>
      <c r="H123" s="445">
        <v>0</v>
      </c>
      <c r="I123" s="445">
        <v>0</v>
      </c>
      <c r="J123" s="447">
        <v>0</v>
      </c>
      <c r="K123" s="447">
        <v>33652.75</v>
      </c>
      <c r="L123" s="447">
        <v>33652.75</v>
      </c>
      <c r="M123" s="447">
        <v>33652.75</v>
      </c>
      <c r="N123" s="447">
        <v>33652.75</v>
      </c>
      <c r="O123" s="447">
        <v>33652.75</v>
      </c>
      <c r="P123" s="447">
        <v>72027.179999999993</v>
      </c>
      <c r="Q123" s="447">
        <v>72027.179999999993</v>
      </c>
      <c r="R123" s="447">
        <v>99591.75</v>
      </c>
      <c r="S123" s="455"/>
      <c r="T123" s="641">
        <v>126134.02</v>
      </c>
    </row>
    <row r="124" spans="1:22" x14ac:dyDescent="0.2">
      <c r="A124" s="486" t="s">
        <v>288</v>
      </c>
      <c r="B124" s="487" t="s">
        <v>965</v>
      </c>
      <c r="C124" s="488">
        <v>180000</v>
      </c>
      <c r="D124" s="489">
        <v>190000</v>
      </c>
      <c r="E124" s="565">
        <v>200005.26</v>
      </c>
      <c r="F124" s="489">
        <v>205000</v>
      </c>
      <c r="G124" s="443"/>
      <c r="H124" s="445">
        <v>0</v>
      </c>
      <c r="I124" s="445">
        <v>0</v>
      </c>
      <c r="J124" s="447">
        <v>48639.86</v>
      </c>
      <c r="K124" s="447">
        <v>51019.86</v>
      </c>
      <c r="L124" s="447">
        <v>49829.86</v>
      </c>
      <c r="M124" s="447">
        <v>49829.86</v>
      </c>
      <c r="N124" s="447">
        <v>49829.86</v>
      </c>
      <c r="O124" s="447">
        <v>49829.86</v>
      </c>
      <c r="P124" s="447">
        <v>97509.55</v>
      </c>
      <c r="Q124" s="447">
        <v>97509.55</v>
      </c>
      <c r="R124" s="447">
        <v>140548.79999999999</v>
      </c>
      <c r="S124" s="455"/>
      <c r="T124" s="641">
        <v>185309.52</v>
      </c>
    </row>
    <row r="125" spans="1:22" x14ac:dyDescent="0.2">
      <c r="A125" s="486" t="s">
        <v>290</v>
      </c>
      <c r="B125" s="487" t="s">
        <v>966</v>
      </c>
      <c r="C125" s="488">
        <v>2000</v>
      </c>
      <c r="D125" s="489">
        <v>2000</v>
      </c>
      <c r="E125" s="562">
        <v>1645</v>
      </c>
      <c r="F125" s="489">
        <v>2000</v>
      </c>
      <c r="G125" s="443"/>
      <c r="H125" s="445">
        <v>0</v>
      </c>
      <c r="I125" s="445">
        <v>0</v>
      </c>
      <c r="J125" s="447">
        <v>0</v>
      </c>
      <c r="K125" s="447">
        <v>0</v>
      </c>
      <c r="L125" s="447">
        <v>0</v>
      </c>
      <c r="M125" s="447">
        <v>508.77</v>
      </c>
      <c r="N125" s="447">
        <v>508.77</v>
      </c>
      <c r="O125" s="447">
        <v>508.77</v>
      </c>
      <c r="P125" s="447">
        <v>508.77</v>
      </c>
      <c r="Q125" s="447">
        <v>879.52</v>
      </c>
      <c r="R125" s="447">
        <v>879.52</v>
      </c>
      <c r="S125" s="447"/>
      <c r="T125" s="641">
        <v>1208.06</v>
      </c>
    </row>
    <row r="126" spans="1:22" x14ac:dyDescent="0.2">
      <c r="A126" s="486" t="s">
        <v>292</v>
      </c>
      <c r="B126" s="487" t="s">
        <v>967</v>
      </c>
      <c r="C126" s="488">
        <v>2000</v>
      </c>
      <c r="D126" s="489">
        <v>2000</v>
      </c>
      <c r="E126" s="562">
        <v>0</v>
      </c>
      <c r="F126" s="489">
        <v>2000</v>
      </c>
      <c r="G126" s="443"/>
      <c r="H126" s="445">
        <v>0</v>
      </c>
      <c r="I126" s="445">
        <v>0</v>
      </c>
      <c r="J126" s="447">
        <v>0</v>
      </c>
      <c r="K126" s="447">
        <v>0</v>
      </c>
      <c r="L126" s="447">
        <v>0</v>
      </c>
      <c r="M126" s="447">
        <v>0</v>
      </c>
      <c r="N126" s="447">
        <v>0</v>
      </c>
      <c r="O126" s="447">
        <v>0</v>
      </c>
      <c r="P126" s="447">
        <v>0</v>
      </c>
      <c r="Q126" s="447">
        <v>0</v>
      </c>
      <c r="R126" s="447">
        <v>0</v>
      </c>
      <c r="S126" s="447"/>
      <c r="T126" s="641">
        <v>0</v>
      </c>
    </row>
    <row r="127" spans="1:22" s="367" customFormat="1" x14ac:dyDescent="0.2">
      <c r="A127" s="448" t="s">
        <v>968</v>
      </c>
      <c r="B127" s="449" t="s">
        <v>969</v>
      </c>
      <c r="C127" s="450"/>
      <c r="D127" s="451"/>
      <c r="E127" s="475"/>
      <c r="F127" s="451"/>
      <c r="G127" s="451"/>
      <c r="H127" s="457"/>
      <c r="I127" s="457"/>
      <c r="J127" s="457"/>
      <c r="K127" s="458"/>
      <c r="L127" s="458"/>
      <c r="M127" s="458"/>
      <c r="N127" s="458"/>
      <c r="O127" s="457"/>
      <c r="P127" s="457"/>
      <c r="Q127" s="457"/>
      <c r="R127" s="453"/>
      <c r="S127" s="457"/>
      <c r="T127" s="646"/>
      <c r="U127" s="365"/>
      <c r="V127" s="366"/>
    </row>
    <row r="128" spans="1:22" x14ac:dyDescent="0.2">
      <c r="A128" s="486" t="s">
        <v>970</v>
      </c>
      <c r="B128" s="487" t="s">
        <v>664</v>
      </c>
      <c r="C128" s="488">
        <v>2000</v>
      </c>
      <c r="D128" s="489">
        <v>2000</v>
      </c>
      <c r="E128" s="490">
        <v>2388.3000000000002</v>
      </c>
      <c r="F128" s="489">
        <v>500</v>
      </c>
      <c r="G128" s="443"/>
      <c r="H128" s="445">
        <v>0</v>
      </c>
      <c r="I128" s="445">
        <v>0</v>
      </c>
      <c r="J128" s="445">
        <v>0</v>
      </c>
      <c r="K128" s="447">
        <v>0</v>
      </c>
      <c r="L128" s="447">
        <v>0</v>
      </c>
      <c r="M128" s="447">
        <v>0</v>
      </c>
      <c r="N128" s="447">
        <v>0</v>
      </c>
      <c r="O128" s="445">
        <v>0</v>
      </c>
      <c r="P128" s="445">
        <v>0</v>
      </c>
      <c r="Q128" s="445">
        <v>0</v>
      </c>
      <c r="R128" s="445">
        <v>0</v>
      </c>
      <c r="S128" s="455"/>
      <c r="T128" s="647">
        <v>0</v>
      </c>
      <c r="U128" s="342">
        <v>1200</v>
      </c>
    </row>
    <row r="129" spans="1:25" x14ac:dyDescent="0.2">
      <c r="A129" s="486" t="s">
        <v>971</v>
      </c>
      <c r="B129" s="487" t="s">
        <v>315</v>
      </c>
      <c r="C129" s="488">
        <v>500</v>
      </c>
      <c r="D129" s="489">
        <v>500</v>
      </c>
      <c r="E129" s="490">
        <v>0</v>
      </c>
      <c r="F129" s="489">
        <v>200</v>
      </c>
      <c r="G129" s="443"/>
      <c r="H129" s="445">
        <v>0</v>
      </c>
      <c r="I129" s="445">
        <v>0</v>
      </c>
      <c r="J129" s="445">
        <v>0</v>
      </c>
      <c r="K129" s="447">
        <v>0</v>
      </c>
      <c r="L129" s="447">
        <v>0</v>
      </c>
      <c r="M129" s="447">
        <v>0</v>
      </c>
      <c r="N129" s="447">
        <v>0</v>
      </c>
      <c r="O129" s="445">
        <v>0</v>
      </c>
      <c r="P129" s="445">
        <v>0</v>
      </c>
      <c r="Q129" s="445">
        <v>0</v>
      </c>
      <c r="R129" s="445">
        <v>0</v>
      </c>
      <c r="S129" s="445"/>
      <c r="T129" s="647">
        <v>0</v>
      </c>
      <c r="U129" s="342" t="s">
        <v>328</v>
      </c>
      <c r="Y129" s="514">
        <f>F128+F129+F130+F134+F156+F164+F165+F173</f>
        <v>13500</v>
      </c>
    </row>
    <row r="130" spans="1:25" x14ac:dyDescent="0.2">
      <c r="A130" s="486" t="s">
        <v>972</v>
      </c>
      <c r="B130" s="487" t="s">
        <v>973</v>
      </c>
      <c r="C130" s="488">
        <v>18000</v>
      </c>
      <c r="D130" s="489">
        <v>18000</v>
      </c>
      <c r="E130" s="490">
        <v>17625</v>
      </c>
      <c r="F130" s="489">
        <v>500</v>
      </c>
      <c r="G130" s="443"/>
      <c r="H130" s="445">
        <v>0</v>
      </c>
      <c r="I130" s="445">
        <v>0</v>
      </c>
      <c r="J130" s="445">
        <v>480</v>
      </c>
      <c r="K130" s="447">
        <v>480</v>
      </c>
      <c r="L130" s="447">
        <v>480</v>
      </c>
      <c r="M130" s="447">
        <v>480</v>
      </c>
      <c r="N130" s="447">
        <v>480</v>
      </c>
      <c r="O130" s="445">
        <v>480</v>
      </c>
      <c r="P130" s="445">
        <v>480</v>
      </c>
      <c r="Q130" s="445">
        <v>480</v>
      </c>
      <c r="R130" s="445">
        <v>480</v>
      </c>
      <c r="S130" s="445"/>
      <c r="T130" s="647">
        <v>480</v>
      </c>
    </row>
    <row r="131" spans="1:25" s="367" customFormat="1" x14ac:dyDescent="0.2">
      <c r="A131" s="448" t="s">
        <v>974</v>
      </c>
      <c r="B131" s="449" t="s">
        <v>975</v>
      </c>
      <c r="C131" s="450"/>
      <c r="D131" s="451"/>
      <c r="E131" s="465"/>
      <c r="F131" s="451"/>
      <c r="G131" s="451"/>
      <c r="H131" s="457"/>
      <c r="I131" s="457"/>
      <c r="J131" s="457"/>
      <c r="K131" s="458"/>
      <c r="L131" s="458"/>
      <c r="M131" s="458"/>
      <c r="N131" s="458"/>
      <c r="O131" s="457"/>
      <c r="P131" s="457"/>
      <c r="Q131" s="457"/>
      <c r="R131" s="453"/>
      <c r="S131" s="457"/>
      <c r="T131" s="645"/>
      <c r="U131" s="365"/>
      <c r="V131" s="366"/>
    </row>
    <row r="132" spans="1:25" x14ac:dyDescent="0.2">
      <c r="A132" s="568" t="s">
        <v>976</v>
      </c>
      <c r="B132" s="569" t="s">
        <v>977</v>
      </c>
      <c r="C132" s="488">
        <v>300</v>
      </c>
      <c r="D132" s="489">
        <v>300</v>
      </c>
      <c r="E132" s="490">
        <v>0</v>
      </c>
      <c r="F132" s="489">
        <v>500</v>
      </c>
      <c r="G132" s="443"/>
      <c r="H132" s="445">
        <v>0</v>
      </c>
      <c r="I132" s="445">
        <v>0</v>
      </c>
      <c r="J132" s="445">
        <v>0</v>
      </c>
      <c r="K132" s="447">
        <v>0</v>
      </c>
      <c r="L132" s="447">
        <v>0</v>
      </c>
      <c r="M132" s="447">
        <v>0</v>
      </c>
      <c r="N132" s="447">
        <v>0</v>
      </c>
      <c r="O132" s="445">
        <v>0</v>
      </c>
      <c r="P132" s="445">
        <v>0</v>
      </c>
      <c r="Q132" s="445">
        <v>0</v>
      </c>
      <c r="R132" s="445">
        <v>0</v>
      </c>
      <c r="S132" s="445"/>
      <c r="T132" s="647">
        <v>0</v>
      </c>
    </row>
    <row r="133" spans="1:25" x14ac:dyDescent="0.2">
      <c r="A133" s="568" t="s">
        <v>978</v>
      </c>
      <c r="B133" s="569" t="s">
        <v>979</v>
      </c>
      <c r="C133" s="442">
        <v>1000</v>
      </c>
      <c r="D133" s="443">
        <v>1000</v>
      </c>
      <c r="E133" s="444">
        <v>0</v>
      </c>
      <c r="F133" s="489">
        <v>500</v>
      </c>
      <c r="G133" s="443"/>
      <c r="H133" s="445">
        <v>0</v>
      </c>
      <c r="I133" s="445">
        <v>0</v>
      </c>
      <c r="J133" s="445">
        <v>0</v>
      </c>
      <c r="K133" s="447">
        <v>0</v>
      </c>
      <c r="L133" s="447">
        <v>0</v>
      </c>
      <c r="M133" s="447">
        <v>0</v>
      </c>
      <c r="N133" s="447">
        <v>0</v>
      </c>
      <c r="O133" s="445">
        <v>0</v>
      </c>
      <c r="P133" s="445">
        <v>0</v>
      </c>
      <c r="Q133" s="445">
        <v>0</v>
      </c>
      <c r="R133" s="445">
        <v>0</v>
      </c>
      <c r="S133" s="445"/>
      <c r="T133" s="647">
        <v>0</v>
      </c>
    </row>
    <row r="134" spans="1:25" x14ac:dyDescent="0.2">
      <c r="A134" s="568" t="s">
        <v>980</v>
      </c>
      <c r="B134" s="569" t="s">
        <v>981</v>
      </c>
      <c r="C134" s="488">
        <v>200</v>
      </c>
      <c r="D134" s="489">
        <v>200</v>
      </c>
      <c r="E134" s="490">
        <v>0</v>
      </c>
      <c r="F134" s="489">
        <v>800</v>
      </c>
      <c r="G134" s="443"/>
      <c r="H134" s="445">
        <v>0</v>
      </c>
      <c r="I134" s="445">
        <v>0</v>
      </c>
      <c r="J134" s="445">
        <v>0</v>
      </c>
      <c r="K134" s="447">
        <v>0</v>
      </c>
      <c r="L134" s="447">
        <v>0</v>
      </c>
      <c r="M134" s="447">
        <v>0</v>
      </c>
      <c r="N134" s="447">
        <v>0</v>
      </c>
      <c r="O134" s="445">
        <v>0</v>
      </c>
      <c r="P134" s="445">
        <v>0</v>
      </c>
      <c r="Q134" s="445">
        <v>0</v>
      </c>
      <c r="R134" s="445">
        <v>0</v>
      </c>
      <c r="S134" s="445"/>
      <c r="T134" s="647">
        <v>0</v>
      </c>
    </row>
    <row r="135" spans="1:25" x14ac:dyDescent="0.2">
      <c r="A135" s="568" t="s">
        <v>982</v>
      </c>
      <c r="B135" s="569" t="s">
        <v>983</v>
      </c>
      <c r="C135" s="488">
        <v>200</v>
      </c>
      <c r="D135" s="489">
        <v>200</v>
      </c>
      <c r="E135" s="490">
        <v>0</v>
      </c>
      <c r="F135" s="489">
        <v>100</v>
      </c>
      <c r="G135" s="443"/>
      <c r="H135" s="445">
        <v>0</v>
      </c>
      <c r="I135" s="445">
        <v>0</v>
      </c>
      <c r="J135" s="445">
        <v>0</v>
      </c>
      <c r="K135" s="447">
        <v>0</v>
      </c>
      <c r="L135" s="447">
        <v>0</v>
      </c>
      <c r="M135" s="447">
        <v>0</v>
      </c>
      <c r="N135" s="447">
        <v>0</v>
      </c>
      <c r="O135" s="445">
        <v>0</v>
      </c>
      <c r="P135" s="445">
        <v>0</v>
      </c>
      <c r="Q135" s="445">
        <v>0</v>
      </c>
      <c r="R135" s="445">
        <v>0</v>
      </c>
      <c r="S135" s="445"/>
      <c r="T135" s="647">
        <v>0</v>
      </c>
    </row>
    <row r="136" spans="1:25" x14ac:dyDescent="0.2">
      <c r="A136" s="580" t="s">
        <v>855</v>
      </c>
      <c r="B136" s="581" t="s">
        <v>984</v>
      </c>
      <c r="C136" s="488"/>
      <c r="D136" s="489"/>
      <c r="E136" s="490"/>
      <c r="F136" s="489"/>
      <c r="G136" s="443"/>
      <c r="H136" s="445"/>
      <c r="I136" s="445"/>
      <c r="J136" s="445"/>
      <c r="K136" s="447"/>
      <c r="L136" s="447"/>
      <c r="M136" s="447"/>
      <c r="N136" s="447"/>
      <c r="O136" s="445"/>
      <c r="P136" s="445"/>
      <c r="Q136" s="445"/>
      <c r="R136" s="445"/>
      <c r="S136" s="445"/>
      <c r="T136" s="647"/>
    </row>
    <row r="137" spans="1:25" s="367" customFormat="1" x14ac:dyDescent="0.2">
      <c r="A137" s="448" t="s">
        <v>985</v>
      </c>
      <c r="B137" s="449" t="s">
        <v>986</v>
      </c>
      <c r="C137" s="450"/>
      <c r="D137" s="451"/>
      <c r="E137" s="465"/>
      <c r="F137" s="451"/>
      <c r="G137" s="451"/>
      <c r="H137" s="457"/>
      <c r="I137" s="457"/>
      <c r="J137" s="458"/>
      <c r="K137" s="458"/>
      <c r="L137" s="458"/>
      <c r="M137" s="458"/>
      <c r="N137" s="458"/>
      <c r="O137" s="457"/>
      <c r="P137" s="457"/>
      <c r="Q137" s="457"/>
      <c r="R137" s="453"/>
      <c r="S137" s="457"/>
      <c r="T137" s="645"/>
      <c r="U137" s="365"/>
      <c r="V137" s="366"/>
    </row>
    <row r="138" spans="1:25" s="367" customFormat="1" x14ac:dyDescent="0.2">
      <c r="A138" s="587" t="s">
        <v>987</v>
      </c>
      <c r="B138" s="588" t="s">
        <v>988</v>
      </c>
      <c r="C138" s="488"/>
      <c r="D138" s="489"/>
      <c r="E138" s="589"/>
      <c r="F138" s="489"/>
      <c r="G138" s="451"/>
      <c r="H138" s="457"/>
      <c r="I138" s="457"/>
      <c r="J138" s="458"/>
      <c r="K138" s="458"/>
      <c r="L138" s="458"/>
      <c r="M138" s="458"/>
      <c r="N138" s="458"/>
      <c r="O138" s="457"/>
      <c r="P138" s="457"/>
      <c r="Q138" s="457"/>
      <c r="R138" s="453"/>
      <c r="S138" s="457"/>
      <c r="T138" s="645"/>
      <c r="U138" s="365"/>
      <c r="V138" s="366"/>
    </row>
    <row r="139" spans="1:25" x14ac:dyDescent="0.2">
      <c r="A139" s="486" t="s">
        <v>439</v>
      </c>
      <c r="B139" s="487" t="s">
        <v>440</v>
      </c>
      <c r="C139" s="488">
        <v>6400</v>
      </c>
      <c r="D139" s="489">
        <v>6400</v>
      </c>
      <c r="E139" s="565">
        <v>9658.67</v>
      </c>
      <c r="F139" s="489">
        <v>800</v>
      </c>
      <c r="G139" s="443"/>
      <c r="H139" s="445">
        <v>800</v>
      </c>
      <c r="I139" s="445">
        <v>800</v>
      </c>
      <c r="J139" s="447">
        <v>800</v>
      </c>
      <c r="K139" s="447">
        <v>800</v>
      </c>
      <c r="L139" s="447">
        <v>800</v>
      </c>
      <c r="M139" s="447">
        <v>800</v>
      </c>
      <c r="N139" s="447">
        <v>800</v>
      </c>
      <c r="O139" s="447">
        <v>800</v>
      </c>
      <c r="P139" s="447">
        <v>800</v>
      </c>
      <c r="Q139" s="447">
        <v>800</v>
      </c>
      <c r="R139" s="447">
        <v>800</v>
      </c>
      <c r="S139" s="455"/>
      <c r="T139" s="641">
        <v>800</v>
      </c>
    </row>
    <row r="140" spans="1:25" x14ac:dyDescent="0.2">
      <c r="A140" s="486" t="s">
        <v>442</v>
      </c>
      <c r="B140" s="487" t="s">
        <v>443</v>
      </c>
      <c r="C140" s="488">
        <v>4000</v>
      </c>
      <c r="D140" s="489">
        <v>4000</v>
      </c>
      <c r="E140" s="562">
        <v>1915</v>
      </c>
      <c r="F140" s="489">
        <v>500</v>
      </c>
      <c r="G140" s="443"/>
      <c r="H140" s="445">
        <v>290</v>
      </c>
      <c r="I140" s="445">
        <v>535</v>
      </c>
      <c r="J140" s="447">
        <v>535</v>
      </c>
      <c r="K140" s="447">
        <v>555</v>
      </c>
      <c r="L140" s="455">
        <v>555</v>
      </c>
      <c r="M140" s="455">
        <v>555</v>
      </c>
      <c r="N140" s="455">
        <v>555</v>
      </c>
      <c r="O140" s="455">
        <v>555</v>
      </c>
      <c r="P140" s="455">
        <v>555</v>
      </c>
      <c r="Q140" s="455">
        <v>575</v>
      </c>
      <c r="R140" s="455">
        <v>575</v>
      </c>
      <c r="S140" s="447"/>
      <c r="T140" s="640">
        <v>595</v>
      </c>
    </row>
    <row r="141" spans="1:25" s="367" customFormat="1" x14ac:dyDescent="0.2">
      <c r="A141" s="587" t="s">
        <v>989</v>
      </c>
      <c r="B141" s="588" t="s">
        <v>990</v>
      </c>
      <c r="C141" s="488"/>
      <c r="D141" s="489"/>
      <c r="E141" s="590"/>
      <c r="F141" s="489"/>
      <c r="G141" s="451"/>
      <c r="H141" s="457"/>
      <c r="I141" s="457"/>
      <c r="J141" s="458"/>
      <c r="K141" s="476"/>
      <c r="L141" s="476"/>
      <c r="M141" s="458"/>
      <c r="N141" s="458"/>
      <c r="O141" s="458"/>
      <c r="P141" s="458"/>
      <c r="Q141" s="458"/>
      <c r="R141" s="454"/>
      <c r="S141" s="454"/>
      <c r="T141" s="643"/>
      <c r="U141" s="365"/>
      <c r="V141" s="366"/>
    </row>
    <row r="142" spans="1:25" x14ac:dyDescent="0.2">
      <c r="A142" s="486" t="s">
        <v>445</v>
      </c>
      <c r="B142" s="487" t="s">
        <v>991</v>
      </c>
      <c r="C142" s="488">
        <v>8000</v>
      </c>
      <c r="D142" s="489">
        <v>8000</v>
      </c>
      <c r="E142" s="562">
        <v>586.5</v>
      </c>
      <c r="F142" s="489">
        <v>300</v>
      </c>
      <c r="G142" s="443"/>
      <c r="H142" s="445">
        <v>233.05</v>
      </c>
      <c r="I142" s="455">
        <v>504.35</v>
      </c>
      <c r="J142" s="455">
        <v>504.35</v>
      </c>
      <c r="K142" s="455">
        <v>504.35</v>
      </c>
      <c r="L142" s="455">
        <v>504.35</v>
      </c>
      <c r="M142" s="455">
        <v>504.35</v>
      </c>
      <c r="N142" s="455">
        <v>504.35</v>
      </c>
      <c r="O142" s="455">
        <v>504.35</v>
      </c>
      <c r="P142" s="455">
        <v>504.35</v>
      </c>
      <c r="Q142" s="455">
        <v>504.35</v>
      </c>
      <c r="R142" s="455">
        <v>504.35</v>
      </c>
      <c r="S142" s="447"/>
      <c r="T142" s="640">
        <v>504.35</v>
      </c>
    </row>
    <row r="143" spans="1:25" x14ac:dyDescent="0.2">
      <c r="A143" s="486" t="s">
        <v>448</v>
      </c>
      <c r="B143" s="487" t="s">
        <v>992</v>
      </c>
      <c r="C143" s="488">
        <v>16000</v>
      </c>
      <c r="D143" s="489">
        <v>22000</v>
      </c>
      <c r="E143" s="562">
        <v>16585.28</v>
      </c>
      <c r="F143" s="489">
        <v>0</v>
      </c>
      <c r="G143" s="443"/>
      <c r="H143" s="445">
        <v>0</v>
      </c>
      <c r="I143" s="455">
        <v>0</v>
      </c>
      <c r="J143" s="455">
        <v>8062.25</v>
      </c>
      <c r="K143" s="455">
        <v>8062.25</v>
      </c>
      <c r="L143" s="455">
        <v>8062.25</v>
      </c>
      <c r="M143" s="455">
        <v>8062.25</v>
      </c>
      <c r="N143" s="455">
        <v>8062.25</v>
      </c>
      <c r="O143" s="455">
        <v>8062.25</v>
      </c>
      <c r="P143" s="455">
        <v>8062.25</v>
      </c>
      <c r="Q143" s="455">
        <v>8062.25</v>
      </c>
      <c r="R143" s="447">
        <v>8062.25</v>
      </c>
      <c r="S143" s="447"/>
      <c r="T143" s="641">
        <v>8062.25</v>
      </c>
    </row>
    <row r="144" spans="1:25" x14ac:dyDescent="0.2">
      <c r="A144" s="486" t="s">
        <v>993</v>
      </c>
      <c r="B144" s="487" t="s">
        <v>994</v>
      </c>
      <c r="C144" s="488">
        <v>5000</v>
      </c>
      <c r="D144" s="489">
        <v>5000</v>
      </c>
      <c r="E144" s="562">
        <v>24</v>
      </c>
      <c r="F144" s="489">
        <v>100</v>
      </c>
      <c r="G144" s="443"/>
      <c r="H144" s="455">
        <v>312</v>
      </c>
      <c r="I144" s="455">
        <v>312</v>
      </c>
      <c r="J144" s="455">
        <v>312</v>
      </c>
      <c r="K144" s="455">
        <v>312</v>
      </c>
      <c r="L144" s="455">
        <v>312</v>
      </c>
      <c r="M144" s="455">
        <v>312</v>
      </c>
      <c r="N144" s="455">
        <v>312</v>
      </c>
      <c r="O144" s="455">
        <v>312</v>
      </c>
      <c r="P144" s="455">
        <v>312</v>
      </c>
      <c r="Q144" s="455">
        <v>312</v>
      </c>
      <c r="R144" s="455">
        <v>312</v>
      </c>
      <c r="S144" s="447"/>
      <c r="T144" s="640">
        <v>312</v>
      </c>
    </row>
    <row r="145" spans="1:24" s="367" customFormat="1" x14ac:dyDescent="0.2">
      <c r="A145" s="587" t="s">
        <v>995</v>
      </c>
      <c r="B145" s="588" t="s">
        <v>996</v>
      </c>
      <c r="C145" s="488"/>
      <c r="D145" s="489"/>
      <c r="E145" s="590"/>
      <c r="F145" s="489"/>
      <c r="G145" s="451"/>
      <c r="H145" s="457"/>
      <c r="I145" s="457"/>
      <c r="J145" s="458"/>
      <c r="K145" s="458"/>
      <c r="L145" s="458"/>
      <c r="M145" s="458"/>
      <c r="N145" s="458"/>
      <c r="O145" s="458"/>
      <c r="P145" s="458"/>
      <c r="Q145" s="458"/>
      <c r="R145" s="458"/>
      <c r="S145" s="458"/>
      <c r="T145" s="643"/>
      <c r="U145" s="365"/>
      <c r="V145" s="366"/>
    </row>
    <row r="146" spans="1:24" x14ac:dyDescent="0.2">
      <c r="A146" s="486" t="s">
        <v>457</v>
      </c>
      <c r="B146" s="487" t="s">
        <v>997</v>
      </c>
      <c r="C146" s="488">
        <v>45000</v>
      </c>
      <c r="D146" s="489">
        <v>45000</v>
      </c>
      <c r="E146" s="490">
        <v>70420.3</v>
      </c>
      <c r="F146" s="489">
        <v>0</v>
      </c>
      <c r="G146" s="443"/>
      <c r="H146" s="445">
        <v>0</v>
      </c>
      <c r="I146" s="447">
        <v>0</v>
      </c>
      <c r="J146" s="447">
        <v>0</v>
      </c>
      <c r="K146" s="447">
        <v>0</v>
      </c>
      <c r="L146" s="447">
        <v>0</v>
      </c>
      <c r="M146" s="447">
        <v>0</v>
      </c>
      <c r="N146" s="447">
        <v>0</v>
      </c>
      <c r="O146" s="447">
        <v>0</v>
      </c>
      <c r="P146" s="445">
        <v>0</v>
      </c>
      <c r="Q146" s="445">
        <v>0</v>
      </c>
      <c r="R146" s="445">
        <v>0</v>
      </c>
      <c r="S146" s="445"/>
      <c r="T146" s="647">
        <v>0</v>
      </c>
    </row>
    <row r="147" spans="1:24" x14ac:dyDescent="0.2">
      <c r="A147" s="486" t="s">
        <v>454</v>
      </c>
      <c r="B147" s="487" t="s">
        <v>998</v>
      </c>
      <c r="C147" s="488">
        <v>35000</v>
      </c>
      <c r="D147" s="489">
        <v>35000</v>
      </c>
      <c r="E147" s="490">
        <v>51979.53</v>
      </c>
      <c r="F147" s="489">
        <v>0</v>
      </c>
      <c r="G147" s="443"/>
      <c r="H147" s="445">
        <v>0</v>
      </c>
      <c r="I147" s="447">
        <v>0</v>
      </c>
      <c r="J147" s="447">
        <v>0</v>
      </c>
      <c r="K147" s="447">
        <v>0</v>
      </c>
      <c r="L147" s="447">
        <v>0</v>
      </c>
      <c r="M147" s="447">
        <v>0</v>
      </c>
      <c r="N147" s="447">
        <v>0</v>
      </c>
      <c r="O147" s="447">
        <v>0</v>
      </c>
      <c r="P147" s="445">
        <v>0</v>
      </c>
      <c r="Q147" s="445">
        <v>0</v>
      </c>
      <c r="R147" s="445">
        <v>0</v>
      </c>
      <c r="S147" s="445"/>
      <c r="T147" s="647">
        <v>0</v>
      </c>
    </row>
    <row r="148" spans="1:24" x14ac:dyDescent="0.2">
      <c r="A148" s="486" t="s">
        <v>999</v>
      </c>
      <c r="B148" s="487" t="s">
        <v>464</v>
      </c>
      <c r="C148" s="488">
        <v>50000</v>
      </c>
      <c r="D148" s="489">
        <v>50000</v>
      </c>
      <c r="E148" s="490">
        <v>14533.08</v>
      </c>
      <c r="F148" s="489">
        <v>0</v>
      </c>
      <c r="G148" s="443"/>
      <c r="H148" s="455">
        <v>29218</v>
      </c>
      <c r="I148" s="455">
        <v>29218</v>
      </c>
      <c r="J148" s="455">
        <v>29218</v>
      </c>
      <c r="K148" s="455">
        <v>29218</v>
      </c>
      <c r="L148" s="455">
        <v>29218</v>
      </c>
      <c r="M148" s="455">
        <v>29218</v>
      </c>
      <c r="N148" s="455">
        <v>29218</v>
      </c>
      <c r="O148" s="455">
        <v>29218</v>
      </c>
      <c r="P148" s="455">
        <v>29218</v>
      </c>
      <c r="Q148" s="455">
        <v>29218</v>
      </c>
      <c r="R148" s="455">
        <v>29218</v>
      </c>
      <c r="S148" s="445"/>
      <c r="T148" s="640">
        <v>29218</v>
      </c>
    </row>
    <row r="149" spans="1:24" x14ac:dyDescent="0.2">
      <c r="A149" s="486" t="s">
        <v>460</v>
      </c>
      <c r="B149" s="487" t="s">
        <v>461</v>
      </c>
      <c r="C149" s="488">
        <v>25000</v>
      </c>
      <c r="D149" s="489">
        <v>15000</v>
      </c>
      <c r="E149" s="490">
        <v>0</v>
      </c>
      <c r="F149" s="489">
        <v>0</v>
      </c>
      <c r="G149" s="443"/>
      <c r="H149" s="455">
        <v>19.95</v>
      </c>
      <c r="I149" s="455">
        <v>19.95</v>
      </c>
      <c r="J149" s="455">
        <v>19.95</v>
      </c>
      <c r="K149" s="455">
        <v>19.95</v>
      </c>
      <c r="L149" s="455">
        <v>19.95</v>
      </c>
      <c r="M149" s="455">
        <v>19.95</v>
      </c>
      <c r="N149" s="455">
        <v>19.95</v>
      </c>
      <c r="O149" s="455">
        <v>19.95</v>
      </c>
      <c r="P149" s="455">
        <v>19.95</v>
      </c>
      <c r="Q149" s="455">
        <v>19.95</v>
      </c>
      <c r="R149" s="455">
        <v>19.95</v>
      </c>
      <c r="S149" s="445"/>
      <c r="T149" s="640">
        <v>19.95</v>
      </c>
    </row>
    <row r="150" spans="1:24" s="367" customFormat="1" x14ac:dyDescent="0.2">
      <c r="A150" s="448" t="s">
        <v>1000</v>
      </c>
      <c r="B150" s="449" t="s">
        <v>1001</v>
      </c>
      <c r="C150" s="450"/>
      <c r="D150" s="451"/>
      <c r="E150" s="465"/>
      <c r="F150" s="451"/>
      <c r="G150" s="451"/>
      <c r="H150" s="457"/>
      <c r="I150" s="457"/>
      <c r="J150" s="457"/>
      <c r="K150" s="457"/>
      <c r="L150" s="457"/>
      <c r="M150" s="457"/>
      <c r="N150" s="457"/>
      <c r="O150" s="457"/>
      <c r="P150" s="457"/>
      <c r="Q150" s="457"/>
      <c r="R150" s="457"/>
      <c r="S150" s="457"/>
      <c r="T150" s="645"/>
      <c r="U150" s="365"/>
      <c r="V150" s="366"/>
    </row>
    <row r="151" spans="1:24" x14ac:dyDescent="0.2">
      <c r="A151" s="486" t="s">
        <v>1002</v>
      </c>
      <c r="B151" s="487" t="s">
        <v>1003</v>
      </c>
      <c r="C151" s="442">
        <v>500</v>
      </c>
      <c r="D151" s="443">
        <v>500</v>
      </c>
      <c r="E151" s="446">
        <v>40</v>
      </c>
      <c r="F151" s="489">
        <v>250</v>
      </c>
      <c r="G151" s="443"/>
      <c r="H151" s="447">
        <v>0</v>
      </c>
      <c r="I151" s="447">
        <v>0</v>
      </c>
      <c r="J151" s="447">
        <v>0</v>
      </c>
      <c r="K151" s="447">
        <v>40</v>
      </c>
      <c r="L151" s="447">
        <v>40</v>
      </c>
      <c r="M151" s="447">
        <v>40</v>
      </c>
      <c r="N151" s="447">
        <v>40</v>
      </c>
      <c r="O151" s="447">
        <v>40</v>
      </c>
      <c r="P151" s="447">
        <v>40</v>
      </c>
      <c r="Q151" s="447">
        <v>40</v>
      </c>
      <c r="R151" s="447">
        <v>40</v>
      </c>
      <c r="S151" s="447"/>
      <c r="T151" s="641">
        <v>40</v>
      </c>
    </row>
    <row r="152" spans="1:24" x14ac:dyDescent="0.2">
      <c r="A152" s="486" t="s">
        <v>1004</v>
      </c>
      <c r="B152" s="487" t="s">
        <v>1005</v>
      </c>
      <c r="C152" s="442">
        <v>1500</v>
      </c>
      <c r="D152" s="443">
        <v>1500</v>
      </c>
      <c r="E152" s="446">
        <v>213.6</v>
      </c>
      <c r="F152" s="489">
        <v>1000</v>
      </c>
      <c r="G152" s="443"/>
      <c r="H152" s="447">
        <v>0</v>
      </c>
      <c r="I152" s="447">
        <v>0</v>
      </c>
      <c r="J152" s="447">
        <v>0</v>
      </c>
      <c r="K152" s="447">
        <v>130.19999999999999</v>
      </c>
      <c r="L152" s="447">
        <v>130.19999999999999</v>
      </c>
      <c r="M152" s="447">
        <v>130.19999999999999</v>
      </c>
      <c r="N152" s="447">
        <v>130.19999999999999</v>
      </c>
      <c r="O152" s="447">
        <v>130.19999999999999</v>
      </c>
      <c r="P152" s="447">
        <v>130.19999999999999</v>
      </c>
      <c r="Q152" s="447">
        <v>130.19999999999999</v>
      </c>
      <c r="R152" s="447">
        <v>130.19999999999999</v>
      </c>
      <c r="S152" s="447"/>
      <c r="T152" s="641">
        <v>130.19999999999999</v>
      </c>
    </row>
    <row r="153" spans="1:24" x14ac:dyDescent="0.2">
      <c r="A153" s="486" t="s">
        <v>1006</v>
      </c>
      <c r="B153" s="487" t="s">
        <v>1007</v>
      </c>
      <c r="C153" s="488">
        <v>7000</v>
      </c>
      <c r="D153" s="489">
        <v>7000</v>
      </c>
      <c r="E153" s="562">
        <v>6167.2</v>
      </c>
      <c r="F153" s="489">
        <v>5000</v>
      </c>
      <c r="G153" s="443"/>
      <c r="H153" s="447">
        <v>1617.2</v>
      </c>
      <c r="I153" s="447">
        <v>3282.2</v>
      </c>
      <c r="J153" s="447">
        <v>4327.2</v>
      </c>
      <c r="K153" s="447">
        <v>4327.2</v>
      </c>
      <c r="L153" s="447">
        <v>4327.2</v>
      </c>
      <c r="M153" s="447">
        <v>4327.2</v>
      </c>
      <c r="N153" s="447">
        <v>4327.2</v>
      </c>
      <c r="O153" s="447">
        <v>4327.2</v>
      </c>
      <c r="P153" s="447">
        <v>4327.2</v>
      </c>
      <c r="Q153" s="447">
        <v>4462.2</v>
      </c>
      <c r="R153" s="447">
        <v>4462.2</v>
      </c>
      <c r="S153" s="447"/>
      <c r="T153" s="641">
        <v>4462.2</v>
      </c>
    </row>
    <row r="154" spans="1:24" x14ac:dyDescent="0.2">
      <c r="A154" s="486" t="s">
        <v>1008</v>
      </c>
      <c r="B154" s="487" t="s">
        <v>1009</v>
      </c>
      <c r="C154" s="488">
        <v>3000</v>
      </c>
      <c r="D154" s="489">
        <v>3000</v>
      </c>
      <c r="E154" s="562">
        <v>456.13</v>
      </c>
      <c r="F154" s="489">
        <v>500</v>
      </c>
      <c r="G154" s="443"/>
      <c r="H154" s="447">
        <v>39</v>
      </c>
      <c r="I154" s="447">
        <v>78</v>
      </c>
      <c r="J154" s="447">
        <v>117</v>
      </c>
      <c r="K154" s="447">
        <v>156</v>
      </c>
      <c r="L154" s="447">
        <v>195</v>
      </c>
      <c r="M154" s="447">
        <v>234</v>
      </c>
      <c r="N154" s="447">
        <v>234</v>
      </c>
      <c r="O154" s="447">
        <v>273</v>
      </c>
      <c r="P154" s="447">
        <v>312</v>
      </c>
      <c r="Q154" s="447">
        <v>351</v>
      </c>
      <c r="R154" s="447">
        <v>390</v>
      </c>
      <c r="S154" s="447"/>
      <c r="T154" s="641">
        <v>468</v>
      </c>
      <c r="U154" s="342" t="s">
        <v>331</v>
      </c>
      <c r="X154" s="514">
        <f>F132+F154+F155+F162+F163+F174</f>
        <v>22000</v>
      </c>
    </row>
    <row r="155" spans="1:24" x14ac:dyDescent="0.2">
      <c r="A155" s="486" t="s">
        <v>1010</v>
      </c>
      <c r="B155" s="487" t="s">
        <v>1011</v>
      </c>
      <c r="C155" s="488">
        <v>10000</v>
      </c>
      <c r="D155" s="489">
        <v>5000</v>
      </c>
      <c r="E155" s="562">
        <v>0</v>
      </c>
      <c r="F155" s="489">
        <v>1500</v>
      </c>
      <c r="G155" s="443"/>
      <c r="H155" s="447">
        <v>0</v>
      </c>
      <c r="I155" s="447">
        <v>0</v>
      </c>
      <c r="J155" s="447">
        <v>0</v>
      </c>
      <c r="K155" s="447">
        <v>0</v>
      </c>
      <c r="L155" s="447">
        <v>0</v>
      </c>
      <c r="M155" s="447">
        <v>0</v>
      </c>
      <c r="N155" s="447">
        <v>0</v>
      </c>
      <c r="O155" s="447">
        <v>0</v>
      </c>
      <c r="P155" s="447">
        <v>0</v>
      </c>
      <c r="Q155" s="447">
        <v>0</v>
      </c>
      <c r="R155" s="447">
        <v>0</v>
      </c>
      <c r="S155" s="447"/>
      <c r="T155" s="641">
        <v>0</v>
      </c>
    </row>
    <row r="156" spans="1:24" x14ac:dyDescent="0.2">
      <c r="A156" s="486" t="s">
        <v>1012</v>
      </c>
      <c r="B156" s="487" t="s">
        <v>1013</v>
      </c>
      <c r="C156" s="488">
        <v>5000</v>
      </c>
      <c r="D156" s="489">
        <v>5000</v>
      </c>
      <c r="E156" s="562">
        <v>0</v>
      </c>
      <c r="F156" s="489">
        <v>500</v>
      </c>
      <c r="G156" s="443"/>
      <c r="H156" s="447">
        <v>0</v>
      </c>
      <c r="I156" s="447">
        <v>0</v>
      </c>
      <c r="J156" s="447">
        <v>0</v>
      </c>
      <c r="K156" s="447">
        <v>0</v>
      </c>
      <c r="L156" s="447">
        <v>0</v>
      </c>
      <c r="M156" s="447">
        <v>0</v>
      </c>
      <c r="N156" s="447">
        <v>0</v>
      </c>
      <c r="O156" s="447">
        <v>0</v>
      </c>
      <c r="P156" s="447">
        <v>0</v>
      </c>
      <c r="Q156" s="447">
        <v>0</v>
      </c>
      <c r="R156" s="447">
        <v>0</v>
      </c>
      <c r="S156" s="447"/>
      <c r="T156" s="641">
        <v>0</v>
      </c>
    </row>
    <row r="157" spans="1:24" x14ac:dyDescent="0.2">
      <c r="A157" s="591" t="s">
        <v>1014</v>
      </c>
      <c r="B157" s="487" t="s">
        <v>1015</v>
      </c>
      <c r="C157" s="488"/>
      <c r="D157" s="489"/>
      <c r="E157" s="590"/>
      <c r="F157" s="489"/>
      <c r="G157" s="451"/>
      <c r="H157" s="453"/>
      <c r="I157" s="477"/>
      <c r="J157" s="477"/>
      <c r="K157" s="477"/>
      <c r="L157" s="477"/>
      <c r="M157" s="454"/>
      <c r="N157" s="454"/>
      <c r="O157" s="454"/>
      <c r="P157" s="458"/>
      <c r="Q157" s="458"/>
      <c r="R157" s="458"/>
      <c r="S157" s="458"/>
      <c r="T157" s="643"/>
    </row>
    <row r="158" spans="1:24" s="367" customFormat="1" x14ac:dyDescent="0.2">
      <c r="A158" s="448" t="s">
        <v>1016</v>
      </c>
      <c r="B158" s="449" t="s">
        <v>1017</v>
      </c>
      <c r="C158" s="450"/>
      <c r="D158" s="451"/>
      <c r="E158" s="465"/>
      <c r="F158" s="451"/>
      <c r="G158" s="451"/>
      <c r="H158" s="457"/>
      <c r="I158" s="457"/>
      <c r="J158" s="457"/>
      <c r="K158" s="457"/>
      <c r="L158" s="457"/>
      <c r="M158" s="457"/>
      <c r="N158" s="457"/>
      <c r="O158" s="457"/>
      <c r="P158" s="457"/>
      <c r="Q158" s="457"/>
      <c r="R158" s="457"/>
      <c r="S158" s="457"/>
      <c r="T158" s="645"/>
      <c r="U158" s="365"/>
      <c r="V158" s="366"/>
    </row>
    <row r="159" spans="1:24" x14ac:dyDescent="0.2">
      <c r="A159" s="486" t="s">
        <v>1018</v>
      </c>
      <c r="B159" s="487" t="s">
        <v>1019</v>
      </c>
      <c r="C159" s="442">
        <v>500</v>
      </c>
      <c r="D159" s="443">
        <v>500</v>
      </c>
      <c r="E159" s="444">
        <v>0</v>
      </c>
      <c r="F159" s="489">
        <v>200</v>
      </c>
      <c r="G159" s="443"/>
      <c r="H159" s="445">
        <v>0</v>
      </c>
      <c r="I159" s="445">
        <v>0</v>
      </c>
      <c r="J159" s="445">
        <v>0</v>
      </c>
      <c r="K159" s="445">
        <v>0</v>
      </c>
      <c r="L159" s="445">
        <v>0</v>
      </c>
      <c r="M159" s="445">
        <v>0</v>
      </c>
      <c r="N159" s="445">
        <v>0</v>
      </c>
      <c r="O159" s="445">
        <v>0</v>
      </c>
      <c r="P159" s="445">
        <v>0</v>
      </c>
      <c r="Q159" s="445">
        <v>0</v>
      </c>
      <c r="R159" s="445">
        <v>0</v>
      </c>
      <c r="S159" s="445"/>
      <c r="T159" s="647">
        <v>0</v>
      </c>
    </row>
    <row r="160" spans="1:24" x14ac:dyDescent="0.2">
      <c r="A160" s="486" t="s">
        <v>1020</v>
      </c>
      <c r="B160" s="487" t="s">
        <v>1021</v>
      </c>
      <c r="C160" s="442">
        <v>2000</v>
      </c>
      <c r="D160" s="443">
        <v>2000</v>
      </c>
      <c r="E160" s="444">
        <v>0</v>
      </c>
      <c r="F160" s="489">
        <v>1500</v>
      </c>
      <c r="G160" s="443"/>
      <c r="H160" s="445">
        <v>0</v>
      </c>
      <c r="I160" s="445">
        <v>0</v>
      </c>
      <c r="J160" s="445">
        <v>0</v>
      </c>
      <c r="K160" s="445">
        <v>0</v>
      </c>
      <c r="L160" s="445">
        <v>0</v>
      </c>
      <c r="M160" s="445">
        <v>0</v>
      </c>
      <c r="N160" s="445">
        <v>0</v>
      </c>
      <c r="O160" s="445">
        <v>0</v>
      </c>
      <c r="P160" s="445">
        <v>0</v>
      </c>
      <c r="Q160" s="445">
        <v>0</v>
      </c>
      <c r="R160" s="445">
        <v>0</v>
      </c>
      <c r="S160" s="445"/>
      <c r="T160" s="647">
        <v>0</v>
      </c>
    </row>
    <row r="161" spans="1:23" x14ac:dyDescent="0.2">
      <c r="A161" s="486" t="s">
        <v>1022</v>
      </c>
      <c r="B161" s="487" t="s">
        <v>1023</v>
      </c>
      <c r="C161" s="488">
        <v>3000</v>
      </c>
      <c r="D161" s="489">
        <v>2000</v>
      </c>
      <c r="E161" s="490">
        <v>0</v>
      </c>
      <c r="F161" s="489">
        <v>2500</v>
      </c>
      <c r="G161" s="443"/>
      <c r="H161" s="445">
        <v>0</v>
      </c>
      <c r="I161" s="445">
        <v>0</v>
      </c>
      <c r="J161" s="445">
        <v>0</v>
      </c>
      <c r="K161" s="445">
        <v>0</v>
      </c>
      <c r="L161" s="445">
        <v>0</v>
      </c>
      <c r="M161" s="445">
        <v>0</v>
      </c>
      <c r="N161" s="445">
        <v>0</v>
      </c>
      <c r="O161" s="445">
        <v>0</v>
      </c>
      <c r="P161" s="445">
        <v>0</v>
      </c>
      <c r="Q161" s="445">
        <v>0</v>
      </c>
      <c r="R161" s="445">
        <v>0</v>
      </c>
      <c r="S161" s="445"/>
      <c r="T161" s="647">
        <v>0</v>
      </c>
      <c r="U161" s="654">
        <v>5000</v>
      </c>
    </row>
    <row r="162" spans="1:23" x14ac:dyDescent="0.2">
      <c r="A162" s="486" t="s">
        <v>1024</v>
      </c>
      <c r="B162" s="487" t="s">
        <v>1025</v>
      </c>
      <c r="C162" s="488">
        <v>5000</v>
      </c>
      <c r="D162" s="489">
        <v>1000</v>
      </c>
      <c r="E162" s="490">
        <v>0</v>
      </c>
      <c r="F162" s="489">
        <v>2500</v>
      </c>
      <c r="G162" s="443"/>
      <c r="H162" s="445">
        <v>0</v>
      </c>
      <c r="I162" s="445">
        <v>0</v>
      </c>
      <c r="J162" s="445">
        <v>0</v>
      </c>
      <c r="K162" s="445">
        <v>0</v>
      </c>
      <c r="L162" s="445">
        <v>0</v>
      </c>
      <c r="M162" s="445">
        <v>0</v>
      </c>
      <c r="N162" s="445">
        <v>0</v>
      </c>
      <c r="O162" s="445">
        <v>0</v>
      </c>
      <c r="P162" s="445">
        <v>0</v>
      </c>
      <c r="Q162" s="445">
        <v>0</v>
      </c>
      <c r="R162" s="445">
        <v>0</v>
      </c>
      <c r="S162" s="445"/>
      <c r="T162" s="647">
        <v>0</v>
      </c>
      <c r="U162" s="654">
        <v>2500</v>
      </c>
    </row>
    <row r="163" spans="1:23" x14ac:dyDescent="0.2">
      <c r="A163" s="486" t="s">
        <v>1026</v>
      </c>
      <c r="B163" s="487" t="s">
        <v>1027</v>
      </c>
      <c r="C163" s="488">
        <v>9000</v>
      </c>
      <c r="D163" s="489">
        <v>4000</v>
      </c>
      <c r="E163" s="490">
        <v>0</v>
      </c>
      <c r="F163" s="489">
        <v>10000</v>
      </c>
      <c r="G163" s="443"/>
      <c r="H163" s="445">
        <v>0</v>
      </c>
      <c r="I163" s="445">
        <v>0</v>
      </c>
      <c r="J163" s="445">
        <v>0</v>
      </c>
      <c r="K163" s="445">
        <v>0</v>
      </c>
      <c r="L163" s="445">
        <v>0</v>
      </c>
      <c r="M163" s="445">
        <v>0</v>
      </c>
      <c r="N163" s="445">
        <v>0</v>
      </c>
      <c r="O163" s="445">
        <v>0</v>
      </c>
      <c r="P163" s="445">
        <v>0</v>
      </c>
      <c r="Q163" s="445">
        <v>0</v>
      </c>
      <c r="R163" s="445">
        <v>0</v>
      </c>
      <c r="S163" s="445"/>
      <c r="T163" s="647">
        <v>0</v>
      </c>
      <c r="U163" s="654">
        <v>4000</v>
      </c>
    </row>
    <row r="164" spans="1:23" x14ac:dyDescent="0.2">
      <c r="A164" s="486" t="s">
        <v>1028</v>
      </c>
      <c r="B164" s="487" t="s">
        <v>1029</v>
      </c>
      <c r="C164" s="488">
        <v>6000</v>
      </c>
      <c r="D164" s="489">
        <v>1000</v>
      </c>
      <c r="E164" s="490">
        <v>0</v>
      </c>
      <c r="F164" s="489">
        <v>4000</v>
      </c>
      <c r="G164" s="443"/>
      <c r="H164" s="445">
        <v>0</v>
      </c>
      <c r="I164" s="445">
        <v>0</v>
      </c>
      <c r="J164" s="445">
        <v>0</v>
      </c>
      <c r="K164" s="445">
        <v>0</v>
      </c>
      <c r="L164" s="445">
        <v>0</v>
      </c>
      <c r="M164" s="445">
        <v>0</v>
      </c>
      <c r="N164" s="445">
        <v>0</v>
      </c>
      <c r="O164" s="445">
        <v>0</v>
      </c>
      <c r="P164" s="445">
        <v>0</v>
      </c>
      <c r="Q164" s="445">
        <v>0</v>
      </c>
      <c r="R164" s="445">
        <v>0</v>
      </c>
      <c r="S164" s="445"/>
      <c r="T164" s="647">
        <v>0</v>
      </c>
      <c r="U164" s="342">
        <f>SUM(U161:U163)</f>
        <v>11500</v>
      </c>
    </row>
    <row r="165" spans="1:23" s="367" customFormat="1" x14ac:dyDescent="0.2">
      <c r="A165" s="368" t="s">
        <v>1030</v>
      </c>
      <c r="B165" s="585" t="s">
        <v>653</v>
      </c>
      <c r="C165" s="488">
        <v>1500</v>
      </c>
      <c r="D165" s="489">
        <v>1500</v>
      </c>
      <c r="E165" s="490">
        <v>0</v>
      </c>
      <c r="F165" s="489">
        <v>1000</v>
      </c>
      <c r="G165" s="451"/>
      <c r="H165" s="453"/>
      <c r="I165" s="453"/>
      <c r="J165" s="453"/>
      <c r="K165" s="453">
        <v>0</v>
      </c>
      <c r="L165" s="453">
        <v>0</v>
      </c>
      <c r="M165" s="453">
        <v>0</v>
      </c>
      <c r="N165" s="453">
        <v>61</v>
      </c>
      <c r="O165" s="453">
        <v>61</v>
      </c>
      <c r="P165" s="453">
        <v>61</v>
      </c>
      <c r="Q165" s="453">
        <v>61</v>
      </c>
      <c r="R165" s="453">
        <v>61</v>
      </c>
      <c r="S165" s="453"/>
      <c r="T165" s="646">
        <v>61</v>
      </c>
      <c r="U165" s="365"/>
      <c r="V165" s="366"/>
    </row>
    <row r="166" spans="1:23" x14ac:dyDescent="0.2">
      <c r="A166" s="592" t="s">
        <v>1014</v>
      </c>
      <c r="B166" s="586" t="s">
        <v>1031</v>
      </c>
      <c r="C166" s="488">
        <v>0</v>
      </c>
      <c r="D166" s="489">
        <v>0</v>
      </c>
      <c r="E166" s="490">
        <v>0</v>
      </c>
      <c r="F166" s="489">
        <v>0</v>
      </c>
      <c r="G166" s="443"/>
      <c r="H166" s="445">
        <v>0</v>
      </c>
      <c r="I166" s="445">
        <v>0</v>
      </c>
      <c r="J166" s="445">
        <v>0</v>
      </c>
      <c r="K166" s="445">
        <v>0</v>
      </c>
      <c r="L166" s="445">
        <v>0</v>
      </c>
      <c r="M166" s="445">
        <v>0</v>
      </c>
      <c r="N166" s="445">
        <v>0</v>
      </c>
      <c r="O166" s="445">
        <v>0</v>
      </c>
      <c r="P166" s="445">
        <v>0</v>
      </c>
      <c r="Q166" s="445">
        <v>0</v>
      </c>
      <c r="R166" s="445">
        <v>0</v>
      </c>
      <c r="S166" s="445"/>
      <c r="T166" s="647">
        <v>0</v>
      </c>
    </row>
    <row r="167" spans="1:23" s="480" customFormat="1" x14ac:dyDescent="0.2">
      <c r="A167" s="368" t="s">
        <v>1032</v>
      </c>
      <c r="B167" s="585" t="s">
        <v>1033</v>
      </c>
      <c r="C167" s="488">
        <v>500</v>
      </c>
      <c r="D167" s="489">
        <v>500</v>
      </c>
      <c r="E167" s="562">
        <v>0</v>
      </c>
      <c r="F167" s="489">
        <v>500</v>
      </c>
      <c r="G167" s="451"/>
      <c r="H167" s="454">
        <v>0</v>
      </c>
      <c r="I167" s="454">
        <v>0</v>
      </c>
      <c r="J167" s="454">
        <v>0</v>
      </c>
      <c r="K167" s="454">
        <v>0</v>
      </c>
      <c r="L167" s="454">
        <v>0</v>
      </c>
      <c r="M167" s="454">
        <v>0</v>
      </c>
      <c r="N167" s="454">
        <v>0</v>
      </c>
      <c r="O167" s="454">
        <v>0</v>
      </c>
      <c r="P167" s="454">
        <v>0</v>
      </c>
      <c r="Q167" s="454">
        <v>0</v>
      </c>
      <c r="R167" s="454">
        <v>0</v>
      </c>
      <c r="S167" s="454"/>
      <c r="T167" s="642">
        <v>0</v>
      </c>
      <c r="U167" s="479"/>
      <c r="V167" s="366"/>
    </row>
    <row r="168" spans="1:23" s="367" customFormat="1" x14ac:dyDescent="0.2">
      <c r="A168" s="448" t="s">
        <v>1034</v>
      </c>
      <c r="B168" s="449" t="s">
        <v>1035</v>
      </c>
      <c r="C168" s="450"/>
      <c r="D168" s="451"/>
      <c r="E168" s="465"/>
      <c r="F168" s="451"/>
      <c r="G168" s="451"/>
      <c r="H168" s="457"/>
      <c r="I168" s="457"/>
      <c r="J168" s="457"/>
      <c r="K168" s="457"/>
      <c r="L168" s="457"/>
      <c r="M168" s="457"/>
      <c r="N168" s="457"/>
      <c r="O168" s="457"/>
      <c r="P168" s="457"/>
      <c r="Q168" s="457"/>
      <c r="R168" s="457"/>
      <c r="S168" s="457"/>
      <c r="T168" s="645"/>
      <c r="U168" s="365"/>
      <c r="V168" s="366"/>
    </row>
    <row r="169" spans="1:23" x14ac:dyDescent="0.2">
      <c r="A169" s="486" t="s">
        <v>318</v>
      </c>
      <c r="B169" s="487" t="s">
        <v>1036</v>
      </c>
      <c r="C169" s="442">
        <v>500</v>
      </c>
      <c r="D169" s="443">
        <v>500</v>
      </c>
      <c r="E169" s="444">
        <v>0</v>
      </c>
      <c r="F169" s="489">
        <v>500</v>
      </c>
      <c r="G169" s="443"/>
      <c r="H169" s="445">
        <v>0</v>
      </c>
      <c r="I169" s="445">
        <v>0</v>
      </c>
      <c r="J169" s="445">
        <v>0</v>
      </c>
      <c r="K169" s="445">
        <v>0</v>
      </c>
      <c r="L169" s="445">
        <v>0</v>
      </c>
      <c r="M169" s="445">
        <v>0</v>
      </c>
      <c r="N169" s="445">
        <v>0</v>
      </c>
      <c r="O169" s="445">
        <v>0</v>
      </c>
      <c r="P169" s="445">
        <v>0</v>
      </c>
      <c r="Q169" s="445">
        <v>0</v>
      </c>
      <c r="R169" s="445">
        <v>0</v>
      </c>
      <c r="S169" s="445"/>
      <c r="T169" s="647">
        <v>0</v>
      </c>
    </row>
    <row r="170" spans="1:23" x14ac:dyDescent="0.2">
      <c r="A170" s="486" t="s">
        <v>1037</v>
      </c>
      <c r="B170" s="487" t="s">
        <v>1038</v>
      </c>
      <c r="C170" s="442">
        <v>1000</v>
      </c>
      <c r="D170" s="443">
        <v>1000</v>
      </c>
      <c r="E170" s="444">
        <v>0</v>
      </c>
      <c r="F170" s="489">
        <v>4000</v>
      </c>
      <c r="G170" s="443"/>
      <c r="H170" s="445">
        <v>0</v>
      </c>
      <c r="I170" s="445">
        <v>0</v>
      </c>
      <c r="J170" s="445">
        <v>0</v>
      </c>
      <c r="K170" s="445">
        <v>0</v>
      </c>
      <c r="L170" s="445">
        <v>0</v>
      </c>
      <c r="M170" s="445">
        <v>0</v>
      </c>
      <c r="N170" s="445">
        <v>0</v>
      </c>
      <c r="O170" s="445">
        <v>0</v>
      </c>
      <c r="P170" s="445">
        <v>0</v>
      </c>
      <c r="Q170" s="445">
        <v>0</v>
      </c>
      <c r="R170" s="445">
        <v>0</v>
      </c>
      <c r="S170" s="445"/>
      <c r="T170" s="647">
        <v>0</v>
      </c>
    </row>
    <row r="171" spans="1:23" x14ac:dyDescent="0.2">
      <c r="A171" s="486" t="s">
        <v>1039</v>
      </c>
      <c r="B171" s="586" t="s">
        <v>1040</v>
      </c>
      <c r="C171" s="488">
        <v>5000</v>
      </c>
      <c r="D171" s="489">
        <v>5000</v>
      </c>
      <c r="E171" s="562">
        <v>406</v>
      </c>
      <c r="F171" s="489">
        <v>4000</v>
      </c>
      <c r="G171" s="443"/>
      <c r="H171" s="445">
        <v>0</v>
      </c>
      <c r="I171" s="445">
        <v>0</v>
      </c>
      <c r="J171" s="445">
        <v>0</v>
      </c>
      <c r="K171" s="445">
        <v>0</v>
      </c>
      <c r="L171" s="445">
        <v>0</v>
      </c>
      <c r="M171" s="445">
        <v>0</v>
      </c>
      <c r="N171" s="445">
        <v>0</v>
      </c>
      <c r="O171" s="445">
        <v>0</v>
      </c>
      <c r="P171" s="445">
        <v>0</v>
      </c>
      <c r="Q171" s="445">
        <v>0</v>
      </c>
      <c r="R171" s="445">
        <v>0</v>
      </c>
      <c r="S171" s="447"/>
      <c r="T171" s="641">
        <v>330</v>
      </c>
    </row>
    <row r="172" spans="1:23" x14ac:dyDescent="0.2">
      <c r="A172" s="486" t="s">
        <v>1041</v>
      </c>
      <c r="B172" s="487" t="s">
        <v>1042</v>
      </c>
      <c r="C172" s="488">
        <v>3000</v>
      </c>
      <c r="D172" s="489">
        <v>3000</v>
      </c>
      <c r="E172" s="490">
        <v>0</v>
      </c>
      <c r="F172" s="489">
        <v>1000</v>
      </c>
      <c r="G172" s="443"/>
      <c r="H172" s="445">
        <v>0</v>
      </c>
      <c r="I172" s="445">
        <v>0</v>
      </c>
      <c r="J172" s="445">
        <v>0</v>
      </c>
      <c r="K172" s="445">
        <v>0</v>
      </c>
      <c r="L172" s="445">
        <v>0</v>
      </c>
      <c r="M172" s="445">
        <v>0</v>
      </c>
      <c r="N172" s="445">
        <v>0</v>
      </c>
      <c r="O172" s="445">
        <v>0</v>
      </c>
      <c r="P172" s="445">
        <v>0</v>
      </c>
      <c r="Q172" s="445">
        <v>0</v>
      </c>
      <c r="R172" s="445">
        <v>0</v>
      </c>
      <c r="S172" s="445"/>
      <c r="T172" s="647">
        <v>0</v>
      </c>
    </row>
    <row r="173" spans="1:23" x14ac:dyDescent="0.2">
      <c r="A173" s="486" t="s">
        <v>1043</v>
      </c>
      <c r="B173" s="487" t="s">
        <v>1044</v>
      </c>
      <c r="C173" s="488">
        <v>3000</v>
      </c>
      <c r="D173" s="489">
        <v>3000</v>
      </c>
      <c r="E173" s="490">
        <v>0</v>
      </c>
      <c r="F173" s="489">
        <v>6000</v>
      </c>
      <c r="G173" s="443"/>
      <c r="H173" s="445">
        <v>0</v>
      </c>
      <c r="I173" s="445">
        <v>0</v>
      </c>
      <c r="J173" s="445">
        <v>0</v>
      </c>
      <c r="K173" s="445">
        <v>0</v>
      </c>
      <c r="L173" s="445">
        <v>0</v>
      </c>
      <c r="M173" s="445">
        <v>0</v>
      </c>
      <c r="N173" s="445">
        <v>0</v>
      </c>
      <c r="O173" s="445">
        <v>0</v>
      </c>
      <c r="P173" s="445">
        <v>0</v>
      </c>
      <c r="Q173" s="445">
        <v>0</v>
      </c>
      <c r="R173" s="445">
        <v>0</v>
      </c>
      <c r="S173" s="445"/>
      <c r="T173" s="647">
        <v>0</v>
      </c>
    </row>
    <row r="174" spans="1:23" x14ac:dyDescent="0.2">
      <c r="A174" s="486" t="s">
        <v>1045</v>
      </c>
      <c r="B174" s="586" t="s">
        <v>1046</v>
      </c>
      <c r="C174" s="488">
        <v>2000</v>
      </c>
      <c r="D174" s="489">
        <v>2000</v>
      </c>
      <c r="E174" s="562">
        <v>0</v>
      </c>
      <c r="F174" s="489">
        <v>7000</v>
      </c>
      <c r="G174" s="443"/>
      <c r="H174" s="445">
        <v>0</v>
      </c>
      <c r="I174" s="445">
        <v>0</v>
      </c>
      <c r="J174" s="445">
        <v>0</v>
      </c>
      <c r="K174" s="445">
        <v>0</v>
      </c>
      <c r="L174" s="445">
        <v>0</v>
      </c>
      <c r="M174" s="445">
        <v>0</v>
      </c>
      <c r="N174" s="445">
        <v>0</v>
      </c>
      <c r="O174" s="445">
        <v>0</v>
      </c>
      <c r="P174" s="447">
        <v>0</v>
      </c>
      <c r="Q174" s="447">
        <v>0</v>
      </c>
      <c r="R174" s="447">
        <v>0</v>
      </c>
      <c r="S174" s="447"/>
      <c r="T174" s="641">
        <v>0</v>
      </c>
    </row>
    <row r="175" spans="1:23" x14ac:dyDescent="0.2">
      <c r="A175" s="486" t="s">
        <v>1047</v>
      </c>
      <c r="B175" s="487" t="s">
        <v>1048</v>
      </c>
      <c r="C175" s="488">
        <v>4000</v>
      </c>
      <c r="D175" s="489">
        <v>4000</v>
      </c>
      <c r="E175" s="490">
        <v>151.02000000000001</v>
      </c>
      <c r="F175" s="489">
        <v>1500</v>
      </c>
      <c r="G175" s="443"/>
      <c r="H175" s="445">
        <v>0</v>
      </c>
      <c r="I175" s="445">
        <v>0</v>
      </c>
      <c r="J175" s="445">
        <v>166.48</v>
      </c>
      <c r="K175" s="445">
        <v>166.48</v>
      </c>
      <c r="L175" s="445">
        <v>166.48</v>
      </c>
      <c r="M175" s="445">
        <v>166.48</v>
      </c>
      <c r="N175" s="445">
        <v>166.48</v>
      </c>
      <c r="O175" s="445">
        <v>166.48</v>
      </c>
      <c r="P175" s="445">
        <v>166.48</v>
      </c>
      <c r="Q175" s="445">
        <v>166.48</v>
      </c>
      <c r="R175" s="445">
        <v>166.48</v>
      </c>
      <c r="S175" s="445"/>
      <c r="T175" s="647">
        <v>187.73</v>
      </c>
      <c r="U175" s="342" t="s">
        <v>336</v>
      </c>
      <c r="W175" s="514">
        <f>F135+F175+F167</f>
        <v>2100</v>
      </c>
    </row>
    <row r="176" spans="1:23" x14ac:dyDescent="0.2">
      <c r="A176" s="486" t="s">
        <v>1049</v>
      </c>
      <c r="B176" s="487" t="s">
        <v>1050</v>
      </c>
      <c r="C176" s="488">
        <v>1000</v>
      </c>
      <c r="D176" s="489">
        <v>1000</v>
      </c>
      <c r="E176" s="490">
        <v>0</v>
      </c>
      <c r="F176" s="489">
        <v>500</v>
      </c>
      <c r="G176" s="443"/>
      <c r="H176" s="445">
        <v>0</v>
      </c>
      <c r="I176" s="445">
        <v>0</v>
      </c>
      <c r="J176" s="445">
        <v>0</v>
      </c>
      <c r="K176" s="445">
        <v>0</v>
      </c>
      <c r="L176" s="445">
        <v>0</v>
      </c>
      <c r="M176" s="445">
        <v>0</v>
      </c>
      <c r="N176" s="445">
        <v>0</v>
      </c>
      <c r="O176" s="445">
        <v>0</v>
      </c>
      <c r="P176" s="445">
        <v>0</v>
      </c>
      <c r="Q176" s="445">
        <v>0</v>
      </c>
      <c r="R176" s="445">
        <v>0</v>
      </c>
      <c r="S176" s="445"/>
      <c r="T176" s="647">
        <v>0</v>
      </c>
    </row>
    <row r="177" spans="1:22" x14ac:dyDescent="0.2">
      <c r="A177" s="448" t="s">
        <v>413</v>
      </c>
      <c r="B177" s="449" t="s">
        <v>1051</v>
      </c>
      <c r="C177" s="450"/>
      <c r="D177" s="451"/>
      <c r="E177" s="475"/>
      <c r="F177" s="451"/>
      <c r="G177" s="451"/>
      <c r="H177" s="453"/>
      <c r="I177" s="453"/>
      <c r="J177" s="453"/>
      <c r="K177" s="453"/>
      <c r="L177" s="453"/>
      <c r="M177" s="453"/>
      <c r="N177" s="453"/>
      <c r="O177" s="453"/>
      <c r="P177" s="453"/>
      <c r="Q177" s="453"/>
      <c r="R177" s="453"/>
      <c r="S177" s="453"/>
      <c r="T177" s="646"/>
    </row>
    <row r="178" spans="1:22" x14ac:dyDescent="0.2">
      <c r="A178" s="486" t="s">
        <v>415</v>
      </c>
      <c r="B178" s="487" t="s">
        <v>1052</v>
      </c>
      <c r="C178" s="488">
        <v>3000</v>
      </c>
      <c r="D178" s="489">
        <v>0</v>
      </c>
      <c r="E178" s="490">
        <v>0</v>
      </c>
      <c r="F178" s="489">
        <v>0</v>
      </c>
      <c r="G178" s="443"/>
      <c r="H178" s="482">
        <v>0</v>
      </c>
      <c r="I178" s="482">
        <v>0</v>
      </c>
      <c r="J178" s="482">
        <v>0</v>
      </c>
      <c r="K178" s="482">
        <v>0</v>
      </c>
      <c r="L178" s="482">
        <v>0</v>
      </c>
      <c r="M178" s="482">
        <v>0</v>
      </c>
      <c r="N178" s="482">
        <v>0</v>
      </c>
      <c r="O178" s="482">
        <v>0</v>
      </c>
      <c r="P178" s="482">
        <v>0</v>
      </c>
      <c r="Q178" s="482">
        <v>0</v>
      </c>
      <c r="R178" s="482">
        <v>0</v>
      </c>
      <c r="S178" s="482"/>
      <c r="T178" s="648">
        <v>0</v>
      </c>
    </row>
    <row r="179" spans="1:22" x14ac:dyDescent="0.2">
      <c r="A179" s="486" t="s">
        <v>418</v>
      </c>
      <c r="B179" s="487" t="s">
        <v>1053</v>
      </c>
      <c r="C179" s="488">
        <v>0</v>
      </c>
      <c r="D179" s="489">
        <v>12000</v>
      </c>
      <c r="E179" s="490">
        <v>9901.69</v>
      </c>
      <c r="F179" s="489">
        <v>0</v>
      </c>
      <c r="G179" s="443"/>
      <c r="H179" s="482">
        <v>0</v>
      </c>
      <c r="I179" s="482">
        <v>0</v>
      </c>
      <c r="J179" s="482">
        <v>0</v>
      </c>
      <c r="K179" s="482">
        <v>0</v>
      </c>
      <c r="L179" s="482">
        <v>0</v>
      </c>
      <c r="M179" s="482">
        <v>0</v>
      </c>
      <c r="N179" s="482">
        <v>0</v>
      </c>
      <c r="O179" s="482">
        <v>0</v>
      </c>
      <c r="P179" s="482">
        <v>0</v>
      </c>
      <c r="Q179" s="482">
        <v>0</v>
      </c>
      <c r="R179" s="482">
        <v>0</v>
      </c>
      <c r="S179" s="482"/>
      <c r="T179" s="648">
        <v>0</v>
      </c>
    </row>
    <row r="180" spans="1:22" x14ac:dyDescent="0.2">
      <c r="A180" s="483"/>
      <c r="B180" s="434" t="s">
        <v>1054</v>
      </c>
      <c r="C180" s="436">
        <f t="shared" ref="C180:S180" si="8">SUM(C56:C179)</f>
        <v>822858.36</v>
      </c>
      <c r="D180" s="437">
        <f t="shared" si="8"/>
        <v>789858.36</v>
      </c>
      <c r="E180" s="463">
        <f t="shared" si="8"/>
        <v>629950.65999999992</v>
      </c>
      <c r="F180" s="437">
        <f>SUM(F56:F179)</f>
        <v>533570</v>
      </c>
      <c r="G180" s="437">
        <f t="shared" si="8"/>
        <v>0</v>
      </c>
      <c r="H180" s="484">
        <f t="shared" si="8"/>
        <v>36220.939999999995</v>
      </c>
      <c r="I180" s="484">
        <f t="shared" si="8"/>
        <v>49564.569999999992</v>
      </c>
      <c r="J180" s="484">
        <f t="shared" si="8"/>
        <v>112014.12</v>
      </c>
      <c r="K180" s="484">
        <f t="shared" si="8"/>
        <v>151091.72000000006</v>
      </c>
      <c r="L180" s="484">
        <f t="shared" si="8"/>
        <v>156131.01000000004</v>
      </c>
      <c r="M180" s="484">
        <f t="shared" si="8"/>
        <v>160295.18000000008</v>
      </c>
      <c r="N180" s="484">
        <f t="shared" si="8"/>
        <v>160682.29000000007</v>
      </c>
      <c r="O180" s="484">
        <f t="shared" si="8"/>
        <v>165697.05000000005</v>
      </c>
      <c r="P180" s="484">
        <f t="shared" si="8"/>
        <v>255500.99000000002</v>
      </c>
      <c r="Q180" s="484">
        <f t="shared" si="8"/>
        <v>258745.43000000002</v>
      </c>
      <c r="R180" s="484">
        <f t="shared" si="8"/>
        <v>333531.13999999996</v>
      </c>
      <c r="S180" s="484">
        <f t="shared" si="8"/>
        <v>0</v>
      </c>
      <c r="T180" s="649">
        <f t="shared" ref="T180" si="9">SUM(T56:T179)</f>
        <v>418690.32999999996</v>
      </c>
    </row>
    <row r="181" spans="1:22" x14ac:dyDescent="0.2">
      <c r="A181" s="448" t="s">
        <v>1055</v>
      </c>
      <c r="B181" s="449" t="s">
        <v>1056</v>
      </c>
      <c r="C181" s="450"/>
      <c r="D181" s="451"/>
      <c r="E181" s="475"/>
      <c r="F181" s="451"/>
      <c r="G181" s="451"/>
      <c r="H181" s="453"/>
      <c r="I181" s="453"/>
      <c r="J181" s="453"/>
      <c r="K181" s="453"/>
      <c r="L181" s="453"/>
      <c r="M181" s="453"/>
      <c r="N181" s="453"/>
      <c r="O181" s="453"/>
      <c r="P181" s="453"/>
      <c r="Q181" s="453"/>
      <c r="R181" s="453"/>
      <c r="S181" s="453"/>
      <c r="T181" s="646"/>
    </row>
    <row r="182" spans="1:22" x14ac:dyDescent="0.2">
      <c r="A182" s="448" t="s">
        <v>1057</v>
      </c>
      <c r="B182" s="449" t="s">
        <v>1058</v>
      </c>
      <c r="C182" s="450"/>
      <c r="D182" s="451"/>
      <c r="E182" s="475"/>
      <c r="F182" s="451"/>
      <c r="G182" s="451"/>
      <c r="H182" s="453"/>
      <c r="I182" s="453"/>
      <c r="J182" s="453"/>
      <c r="K182" s="453"/>
      <c r="L182" s="453"/>
      <c r="M182" s="453"/>
      <c r="N182" s="453"/>
      <c r="O182" s="453"/>
      <c r="P182" s="453"/>
      <c r="Q182" s="453"/>
      <c r="R182" s="453"/>
      <c r="S182" s="453"/>
      <c r="T182" s="646"/>
    </row>
    <row r="183" spans="1:22" x14ac:dyDescent="0.2">
      <c r="A183" s="486" t="s">
        <v>1059</v>
      </c>
      <c r="B183" s="487" t="s">
        <v>1060</v>
      </c>
      <c r="C183" s="442">
        <v>200</v>
      </c>
      <c r="D183" s="443">
        <v>200</v>
      </c>
      <c r="E183" s="444">
        <v>0</v>
      </c>
      <c r="F183" s="489">
        <v>0</v>
      </c>
      <c r="G183" s="443"/>
      <c r="H183" s="445">
        <v>0</v>
      </c>
      <c r="I183" s="445">
        <v>0</v>
      </c>
      <c r="J183" s="445">
        <v>0</v>
      </c>
      <c r="K183" s="445">
        <v>0</v>
      </c>
      <c r="L183" s="445">
        <v>0</v>
      </c>
      <c r="M183" s="445">
        <v>0</v>
      </c>
      <c r="N183" s="445">
        <v>0</v>
      </c>
      <c r="O183" s="445">
        <v>0</v>
      </c>
      <c r="P183" s="445">
        <v>0</v>
      </c>
      <c r="Q183" s="445">
        <v>0</v>
      </c>
      <c r="R183" s="445">
        <v>0</v>
      </c>
      <c r="S183" s="445"/>
      <c r="T183" s="647">
        <v>0</v>
      </c>
    </row>
    <row r="184" spans="1:22" x14ac:dyDescent="0.2">
      <c r="A184" s="486" t="s">
        <v>1061</v>
      </c>
      <c r="B184" s="487" t="s">
        <v>1062</v>
      </c>
      <c r="C184" s="442">
        <v>200</v>
      </c>
      <c r="D184" s="443">
        <v>200</v>
      </c>
      <c r="E184" s="446">
        <v>0</v>
      </c>
      <c r="F184" s="489">
        <v>0</v>
      </c>
      <c r="G184" s="443"/>
      <c r="H184" s="447">
        <v>0</v>
      </c>
      <c r="I184" s="447">
        <v>0</v>
      </c>
      <c r="J184" s="447">
        <v>0</v>
      </c>
      <c r="K184" s="447">
        <v>0</v>
      </c>
      <c r="L184" s="447">
        <v>0</v>
      </c>
      <c r="M184" s="447">
        <v>0</v>
      </c>
      <c r="N184" s="447">
        <v>0</v>
      </c>
      <c r="O184" s="447">
        <v>0</v>
      </c>
      <c r="P184" s="447">
        <v>0</v>
      </c>
      <c r="Q184" s="447">
        <v>0</v>
      </c>
      <c r="R184" s="447">
        <v>0</v>
      </c>
      <c r="S184" s="447"/>
      <c r="T184" s="641">
        <v>0</v>
      </c>
    </row>
    <row r="185" spans="1:22" x14ac:dyDescent="0.2">
      <c r="A185" s="486" t="s">
        <v>483</v>
      </c>
      <c r="B185" s="487" t="s">
        <v>1063</v>
      </c>
      <c r="C185" s="488">
        <v>1000</v>
      </c>
      <c r="D185" s="489">
        <v>1000</v>
      </c>
      <c r="E185" s="562">
        <v>150</v>
      </c>
      <c r="F185" s="489">
        <v>200</v>
      </c>
      <c r="G185" s="443"/>
      <c r="H185" s="447">
        <v>0</v>
      </c>
      <c r="I185" s="447">
        <v>0</v>
      </c>
      <c r="J185" s="447">
        <v>100</v>
      </c>
      <c r="K185" s="447">
        <v>100</v>
      </c>
      <c r="L185" s="447">
        <v>100</v>
      </c>
      <c r="M185" s="447">
        <v>100</v>
      </c>
      <c r="N185" s="447">
        <v>100</v>
      </c>
      <c r="O185" s="447">
        <v>150</v>
      </c>
      <c r="P185" s="447">
        <v>150</v>
      </c>
      <c r="Q185" s="447">
        <v>150</v>
      </c>
      <c r="R185" s="447">
        <v>150</v>
      </c>
      <c r="S185" s="447"/>
      <c r="T185" s="641">
        <v>150</v>
      </c>
    </row>
    <row r="186" spans="1:22" x14ac:dyDescent="0.2">
      <c r="A186" s="486" t="s">
        <v>1064</v>
      </c>
      <c r="B186" s="487" t="s">
        <v>1065</v>
      </c>
      <c r="C186" s="488">
        <v>500</v>
      </c>
      <c r="D186" s="489">
        <v>500</v>
      </c>
      <c r="E186" s="562">
        <v>0</v>
      </c>
      <c r="F186" s="489">
        <v>0</v>
      </c>
      <c r="G186" s="443"/>
      <c r="H186" s="447">
        <v>0</v>
      </c>
      <c r="I186" s="447">
        <v>0</v>
      </c>
      <c r="J186" s="447">
        <v>0</v>
      </c>
      <c r="K186" s="447">
        <v>0</v>
      </c>
      <c r="L186" s="447">
        <v>0</v>
      </c>
      <c r="M186" s="447">
        <v>0</v>
      </c>
      <c r="N186" s="447">
        <v>0</v>
      </c>
      <c r="O186" s="447">
        <v>0</v>
      </c>
      <c r="P186" s="447">
        <v>0</v>
      </c>
      <c r="Q186" s="447">
        <v>0</v>
      </c>
      <c r="R186" s="447">
        <v>0</v>
      </c>
      <c r="S186" s="447"/>
      <c r="T186" s="641">
        <v>0</v>
      </c>
    </row>
    <row r="187" spans="1:22" x14ac:dyDescent="0.2">
      <c r="A187" s="486" t="s">
        <v>1066</v>
      </c>
      <c r="B187" s="487" t="s">
        <v>1067</v>
      </c>
      <c r="C187" s="488">
        <v>300</v>
      </c>
      <c r="D187" s="489">
        <v>300</v>
      </c>
      <c r="E187" s="562">
        <v>0</v>
      </c>
      <c r="F187" s="489">
        <v>0</v>
      </c>
      <c r="G187" s="443"/>
      <c r="H187" s="447">
        <v>0</v>
      </c>
      <c r="I187" s="447">
        <v>0</v>
      </c>
      <c r="J187" s="447">
        <v>0</v>
      </c>
      <c r="K187" s="447">
        <v>0</v>
      </c>
      <c r="L187" s="447">
        <v>0</v>
      </c>
      <c r="M187" s="447">
        <v>0</v>
      </c>
      <c r="N187" s="447">
        <v>0</v>
      </c>
      <c r="O187" s="447">
        <v>0</v>
      </c>
      <c r="P187" s="447">
        <v>0</v>
      </c>
      <c r="Q187" s="447">
        <v>0</v>
      </c>
      <c r="R187" s="447">
        <v>0</v>
      </c>
      <c r="S187" s="447"/>
      <c r="T187" s="641">
        <v>0</v>
      </c>
    </row>
    <row r="188" spans="1:22" x14ac:dyDescent="0.2">
      <c r="A188" s="486" t="s">
        <v>486</v>
      </c>
      <c r="B188" s="487" t="s">
        <v>1068</v>
      </c>
      <c r="C188" s="488">
        <v>500</v>
      </c>
      <c r="D188" s="489">
        <v>500</v>
      </c>
      <c r="E188" s="562">
        <v>0</v>
      </c>
      <c r="F188" s="489">
        <v>200</v>
      </c>
      <c r="G188" s="443"/>
      <c r="H188" s="447">
        <v>0</v>
      </c>
      <c r="I188" s="447">
        <v>0</v>
      </c>
      <c r="J188" s="447">
        <v>0</v>
      </c>
      <c r="K188" s="447">
        <v>0</v>
      </c>
      <c r="L188" s="447">
        <v>0</v>
      </c>
      <c r="M188" s="447">
        <v>0</v>
      </c>
      <c r="N188" s="447">
        <v>0</v>
      </c>
      <c r="O188" s="447">
        <v>0</v>
      </c>
      <c r="P188" s="447">
        <v>0</v>
      </c>
      <c r="Q188" s="447">
        <v>0</v>
      </c>
      <c r="R188" s="447">
        <v>0</v>
      </c>
      <c r="S188" s="447"/>
      <c r="T188" s="641">
        <v>0</v>
      </c>
    </row>
    <row r="189" spans="1:22" x14ac:dyDescent="0.2">
      <c r="A189" s="486" t="s">
        <v>493</v>
      </c>
      <c r="B189" s="487" t="s">
        <v>1069</v>
      </c>
      <c r="C189" s="488">
        <v>3000</v>
      </c>
      <c r="D189" s="489">
        <v>3000</v>
      </c>
      <c r="E189" s="562">
        <v>2693.44</v>
      </c>
      <c r="F189" s="489">
        <v>3264.02</v>
      </c>
      <c r="G189" s="443"/>
      <c r="H189" s="447">
        <v>3264.02</v>
      </c>
      <c r="I189" s="447">
        <v>3264.02</v>
      </c>
      <c r="J189" s="447">
        <v>3264.02</v>
      </c>
      <c r="K189" s="447">
        <v>3264.02</v>
      </c>
      <c r="L189" s="447">
        <v>3264.02</v>
      </c>
      <c r="M189" s="447">
        <v>3264.02</v>
      </c>
      <c r="N189" s="447">
        <v>3264.02</v>
      </c>
      <c r="O189" s="447">
        <v>3264.02</v>
      </c>
      <c r="P189" s="447">
        <v>3264.02</v>
      </c>
      <c r="Q189" s="447">
        <v>3264.02</v>
      </c>
      <c r="R189" s="447">
        <v>3264.02</v>
      </c>
      <c r="S189" s="447"/>
      <c r="T189" s="641">
        <v>3264.02</v>
      </c>
    </row>
    <row r="190" spans="1:22" x14ac:dyDescent="0.2">
      <c r="A190" s="486" t="s">
        <v>496</v>
      </c>
      <c r="B190" s="487" t="s">
        <v>1070</v>
      </c>
      <c r="C190" s="488">
        <v>25</v>
      </c>
      <c r="D190" s="489">
        <v>25</v>
      </c>
      <c r="E190" s="562">
        <v>25</v>
      </c>
      <c r="F190" s="489">
        <v>25</v>
      </c>
      <c r="G190" s="443"/>
      <c r="H190" s="447">
        <v>0</v>
      </c>
      <c r="I190" s="447">
        <v>0</v>
      </c>
      <c r="J190" s="447">
        <v>25</v>
      </c>
      <c r="K190" s="447">
        <v>25</v>
      </c>
      <c r="L190" s="447">
        <v>25</v>
      </c>
      <c r="M190" s="447">
        <v>25</v>
      </c>
      <c r="N190" s="447">
        <v>25</v>
      </c>
      <c r="O190" s="447">
        <v>25</v>
      </c>
      <c r="P190" s="447">
        <v>25</v>
      </c>
      <c r="Q190" s="447">
        <v>25</v>
      </c>
      <c r="R190" s="447">
        <v>25</v>
      </c>
      <c r="S190" s="447"/>
      <c r="T190" s="641">
        <v>25</v>
      </c>
    </row>
    <row r="191" spans="1:22" s="367" customFormat="1" x14ac:dyDescent="0.2">
      <c r="A191" s="448" t="s">
        <v>1071</v>
      </c>
      <c r="B191" s="449" t="s">
        <v>1072</v>
      </c>
      <c r="C191" s="450"/>
      <c r="D191" s="451"/>
      <c r="E191" s="465"/>
      <c r="F191" s="451"/>
      <c r="G191" s="451"/>
      <c r="H191" s="457"/>
      <c r="I191" s="457"/>
      <c r="J191" s="457"/>
      <c r="K191" s="457"/>
      <c r="L191" s="457"/>
      <c r="M191" s="457"/>
      <c r="N191" s="457"/>
      <c r="O191" s="457"/>
      <c r="P191" s="457"/>
      <c r="Q191" s="457"/>
      <c r="R191" s="453"/>
      <c r="S191" s="453"/>
      <c r="T191" s="645"/>
      <c r="U191" s="365"/>
      <c r="V191" s="366"/>
    </row>
    <row r="192" spans="1:22" x14ac:dyDescent="0.2">
      <c r="A192" s="486" t="s">
        <v>150</v>
      </c>
      <c r="B192" s="487" t="s">
        <v>1073</v>
      </c>
      <c r="C192" s="442">
        <v>5000</v>
      </c>
      <c r="D192" s="443">
        <v>5000</v>
      </c>
      <c r="E192" s="446">
        <v>495</v>
      </c>
      <c r="F192" s="489">
        <v>1500</v>
      </c>
      <c r="G192" s="443"/>
      <c r="H192" s="445">
        <v>0</v>
      </c>
      <c r="I192" s="445">
        <v>0</v>
      </c>
      <c r="J192" s="445">
        <v>0</v>
      </c>
      <c r="K192" s="445">
        <v>0</v>
      </c>
      <c r="L192" s="445">
        <v>0</v>
      </c>
      <c r="M192" s="445">
        <v>0</v>
      </c>
      <c r="N192" s="445">
        <v>0</v>
      </c>
      <c r="O192" s="445">
        <v>0</v>
      </c>
      <c r="P192" s="447">
        <v>0</v>
      </c>
      <c r="Q192" s="447">
        <v>0</v>
      </c>
      <c r="R192" s="447">
        <v>0</v>
      </c>
      <c r="S192" s="447"/>
      <c r="T192" s="641">
        <v>795</v>
      </c>
    </row>
    <row r="193" spans="1:25" x14ac:dyDescent="0.2">
      <c r="A193" s="486" t="s">
        <v>255</v>
      </c>
      <c r="B193" s="487" t="s">
        <v>1074</v>
      </c>
      <c r="C193" s="442">
        <v>6000</v>
      </c>
      <c r="D193" s="443">
        <v>6000</v>
      </c>
      <c r="E193" s="446">
        <v>130.19999999999999</v>
      </c>
      <c r="F193" s="489">
        <v>2500</v>
      </c>
      <c r="G193" s="443"/>
      <c r="H193" s="445">
        <v>0</v>
      </c>
      <c r="I193" s="445">
        <v>0</v>
      </c>
      <c r="J193" s="447">
        <v>0</v>
      </c>
      <c r="K193" s="447">
        <v>0</v>
      </c>
      <c r="L193" s="447">
        <v>0</v>
      </c>
      <c r="M193" s="447">
        <v>0</v>
      </c>
      <c r="N193" s="447">
        <v>0</v>
      </c>
      <c r="O193" s="447">
        <v>0</v>
      </c>
      <c r="P193" s="447">
        <v>0</v>
      </c>
      <c r="Q193" s="447">
        <v>0</v>
      </c>
      <c r="R193" s="447">
        <v>0</v>
      </c>
      <c r="S193" s="447"/>
      <c r="T193" s="641">
        <v>1611.86</v>
      </c>
    </row>
    <row r="194" spans="1:25" x14ac:dyDescent="0.2">
      <c r="A194" s="440" t="s">
        <v>1075</v>
      </c>
      <c r="B194" s="441" t="s">
        <v>1076</v>
      </c>
      <c r="C194" s="442">
        <v>500</v>
      </c>
      <c r="D194" s="443">
        <v>500</v>
      </c>
      <c r="E194" s="446">
        <v>0</v>
      </c>
      <c r="F194" s="443">
        <v>300</v>
      </c>
      <c r="G194" s="443"/>
      <c r="H194" s="445">
        <v>0</v>
      </c>
      <c r="I194" s="445">
        <v>0</v>
      </c>
      <c r="J194" s="447">
        <v>0</v>
      </c>
      <c r="K194" s="447">
        <v>0</v>
      </c>
      <c r="L194" s="447">
        <v>0</v>
      </c>
      <c r="M194" s="447">
        <v>0</v>
      </c>
      <c r="N194" s="447">
        <v>0</v>
      </c>
      <c r="O194" s="447">
        <v>0</v>
      </c>
      <c r="P194" s="447">
        <v>0</v>
      </c>
      <c r="Q194" s="447">
        <v>0</v>
      </c>
      <c r="R194" s="447">
        <v>0</v>
      </c>
      <c r="S194" s="447"/>
      <c r="T194" s="641">
        <v>0</v>
      </c>
    </row>
    <row r="195" spans="1:25" x14ac:dyDescent="0.2">
      <c r="A195" s="486" t="s">
        <v>284</v>
      </c>
      <c r="B195" s="487" t="s">
        <v>1077</v>
      </c>
      <c r="C195" s="488">
        <v>3000</v>
      </c>
      <c r="D195" s="489">
        <v>3000</v>
      </c>
      <c r="E195" s="562">
        <v>24</v>
      </c>
      <c r="F195" s="489">
        <v>1500</v>
      </c>
      <c r="G195" s="443"/>
      <c r="H195" s="445">
        <v>0</v>
      </c>
      <c r="I195" s="445">
        <v>0</v>
      </c>
      <c r="J195" s="447">
        <v>0</v>
      </c>
      <c r="K195" s="447">
        <v>0</v>
      </c>
      <c r="L195" s="447">
        <v>0</v>
      </c>
      <c r="M195" s="447">
        <v>0</v>
      </c>
      <c r="N195" s="447">
        <v>0</v>
      </c>
      <c r="O195" s="447">
        <v>0</v>
      </c>
      <c r="P195" s="447">
        <v>0</v>
      </c>
      <c r="Q195" s="447">
        <v>0</v>
      </c>
      <c r="R195" s="447">
        <v>0</v>
      </c>
      <c r="S195" s="447"/>
      <c r="T195" s="641">
        <v>643</v>
      </c>
    </row>
    <row r="196" spans="1:25" x14ac:dyDescent="0.2">
      <c r="A196" s="486" t="s">
        <v>305</v>
      </c>
      <c r="B196" s="487" t="s">
        <v>1078</v>
      </c>
      <c r="C196" s="488">
        <v>1000</v>
      </c>
      <c r="D196" s="489">
        <v>1000</v>
      </c>
      <c r="E196" s="562">
        <v>0</v>
      </c>
      <c r="F196" s="489">
        <v>200</v>
      </c>
      <c r="G196" s="443"/>
      <c r="H196" s="445">
        <v>0</v>
      </c>
      <c r="I196" s="445">
        <v>0</v>
      </c>
      <c r="J196" s="447">
        <v>0</v>
      </c>
      <c r="K196" s="447">
        <v>0</v>
      </c>
      <c r="L196" s="447">
        <v>0</v>
      </c>
      <c r="M196" s="447">
        <v>0</v>
      </c>
      <c r="N196" s="447">
        <v>0</v>
      </c>
      <c r="O196" s="447">
        <v>0</v>
      </c>
      <c r="P196" s="447">
        <v>0</v>
      </c>
      <c r="Q196" s="447">
        <v>0</v>
      </c>
      <c r="R196" s="447">
        <v>8.98</v>
      </c>
      <c r="S196" s="447"/>
      <c r="T196" s="641">
        <v>8.98</v>
      </c>
    </row>
    <row r="197" spans="1:25" x14ac:dyDescent="0.2">
      <c r="A197" s="440" t="s">
        <v>1079</v>
      </c>
      <c r="B197" s="441" t="s">
        <v>1080</v>
      </c>
      <c r="C197" s="442">
        <v>200</v>
      </c>
      <c r="D197" s="443">
        <v>200</v>
      </c>
      <c r="E197" s="446">
        <v>0</v>
      </c>
      <c r="F197" s="443">
        <v>100</v>
      </c>
      <c r="G197" s="443"/>
      <c r="H197" s="445">
        <v>0</v>
      </c>
      <c r="I197" s="445">
        <v>0</v>
      </c>
      <c r="J197" s="447">
        <v>0</v>
      </c>
      <c r="K197" s="447">
        <v>0</v>
      </c>
      <c r="L197" s="447">
        <v>0</v>
      </c>
      <c r="M197" s="447">
        <v>0</v>
      </c>
      <c r="N197" s="447">
        <v>0</v>
      </c>
      <c r="O197" s="447">
        <v>0</v>
      </c>
      <c r="P197" s="447">
        <v>0</v>
      </c>
      <c r="Q197" s="447">
        <v>0</v>
      </c>
      <c r="R197" s="447">
        <v>0</v>
      </c>
      <c r="S197" s="447"/>
      <c r="T197" s="641">
        <v>0</v>
      </c>
    </row>
    <row r="198" spans="1:25" s="367" customFormat="1" x14ac:dyDescent="0.2">
      <c r="A198" s="448" t="s">
        <v>1081</v>
      </c>
      <c r="B198" s="449" t="s">
        <v>1082</v>
      </c>
      <c r="C198" s="450"/>
      <c r="D198" s="451"/>
      <c r="E198" s="465"/>
      <c r="F198" s="451"/>
      <c r="G198" s="451"/>
      <c r="H198" s="457"/>
      <c r="I198" s="457"/>
      <c r="J198" s="457"/>
      <c r="K198" s="457"/>
      <c r="L198" s="457"/>
      <c r="M198" s="457"/>
      <c r="N198" s="457"/>
      <c r="O198" s="457"/>
      <c r="P198" s="457"/>
      <c r="Q198" s="457"/>
      <c r="R198" s="453"/>
      <c r="S198" s="457"/>
      <c r="T198" s="645"/>
      <c r="U198" s="365" t="s">
        <v>546</v>
      </c>
      <c r="V198" s="366" t="s">
        <v>1263</v>
      </c>
      <c r="W198" s="545">
        <f>F199+F209+F219+F229+F239</f>
        <v>70000</v>
      </c>
    </row>
    <row r="199" spans="1:25" x14ac:dyDescent="0.2">
      <c r="A199" s="568" t="s">
        <v>1083</v>
      </c>
      <c r="B199" s="569" t="s">
        <v>1084</v>
      </c>
      <c r="C199" s="442">
        <v>20000</v>
      </c>
      <c r="D199" s="443">
        <v>20000</v>
      </c>
      <c r="E199" s="446">
        <v>16438.330000000002</v>
      </c>
      <c r="F199" s="489">
        <v>20000</v>
      </c>
      <c r="G199" s="443"/>
      <c r="H199" s="447">
        <v>1085</v>
      </c>
      <c r="I199" s="447">
        <v>3150</v>
      </c>
      <c r="J199" s="447">
        <v>4695</v>
      </c>
      <c r="K199" s="447">
        <v>5895</v>
      </c>
      <c r="L199" s="447">
        <v>6678.33</v>
      </c>
      <c r="M199" s="447">
        <v>7968.33</v>
      </c>
      <c r="N199" s="447">
        <v>7968.33</v>
      </c>
      <c r="O199" s="447">
        <v>9118.33</v>
      </c>
      <c r="P199" s="447">
        <v>10393.33</v>
      </c>
      <c r="Q199" s="447">
        <v>11523.33</v>
      </c>
      <c r="R199" s="447">
        <v>12788.33</v>
      </c>
      <c r="S199" s="447"/>
      <c r="T199" s="641">
        <v>15283.33</v>
      </c>
      <c r="U199" s="342" t="s">
        <v>1266</v>
      </c>
    </row>
    <row r="200" spans="1:25" x14ac:dyDescent="0.2">
      <c r="A200" s="568" t="s">
        <v>245</v>
      </c>
      <c r="B200" s="569" t="s">
        <v>1085</v>
      </c>
      <c r="C200" s="442">
        <v>20000</v>
      </c>
      <c r="D200" s="443">
        <v>15000</v>
      </c>
      <c r="E200" s="446">
        <v>10055.129999999999</v>
      </c>
      <c r="F200" s="489">
        <v>14000</v>
      </c>
      <c r="G200" s="443"/>
      <c r="H200" s="447">
        <v>241.13</v>
      </c>
      <c r="I200" s="447">
        <v>2083</v>
      </c>
      <c r="J200" s="447">
        <v>4006.35</v>
      </c>
      <c r="K200" s="447">
        <v>4018.35</v>
      </c>
      <c r="L200" s="447">
        <v>4876.1899999999996</v>
      </c>
      <c r="M200" s="447">
        <v>5545.38</v>
      </c>
      <c r="N200" s="447">
        <v>5545.38</v>
      </c>
      <c r="O200" s="447">
        <v>5923.38</v>
      </c>
      <c r="P200" s="447">
        <v>6372.68</v>
      </c>
      <c r="Q200" s="447">
        <v>6726.43</v>
      </c>
      <c r="R200" s="447">
        <v>7481.96</v>
      </c>
      <c r="S200" s="447"/>
      <c r="T200" s="641">
        <v>8591.16</v>
      </c>
      <c r="U200" s="342" t="s">
        <v>1263</v>
      </c>
    </row>
    <row r="201" spans="1:25" x14ac:dyDescent="0.2">
      <c r="A201" s="468" t="s">
        <v>1086</v>
      </c>
      <c r="B201" s="594" t="s">
        <v>1087</v>
      </c>
      <c r="C201" s="488">
        <v>30000</v>
      </c>
      <c r="D201" s="489">
        <v>45000</v>
      </c>
      <c r="E201" s="562">
        <v>39653.15</v>
      </c>
      <c r="F201" s="489">
        <v>45000</v>
      </c>
      <c r="G201" s="443"/>
      <c r="H201" s="447">
        <v>0</v>
      </c>
      <c r="I201" s="447">
        <v>0</v>
      </c>
      <c r="J201" s="447">
        <v>0</v>
      </c>
      <c r="K201" s="447">
        <v>798.75</v>
      </c>
      <c r="L201" s="447">
        <v>6378.75</v>
      </c>
      <c r="M201" s="447">
        <v>17550</v>
      </c>
      <c r="N201" s="447">
        <v>17550</v>
      </c>
      <c r="O201" s="447">
        <v>19147.5</v>
      </c>
      <c r="P201" s="447">
        <v>19147.5</v>
      </c>
      <c r="Q201" s="447">
        <v>19147.5</v>
      </c>
      <c r="R201" s="447">
        <v>24097.5</v>
      </c>
      <c r="S201" s="447"/>
      <c r="T201" s="641">
        <v>41821.25</v>
      </c>
      <c r="U201" s="564" t="s">
        <v>1267</v>
      </c>
      <c r="V201" s="564" t="s">
        <v>139</v>
      </c>
      <c r="W201" s="564" t="s">
        <v>142</v>
      </c>
      <c r="X201" s="564" t="s">
        <v>145</v>
      </c>
      <c r="Y201" s="564" t="s">
        <v>1268</v>
      </c>
    </row>
    <row r="202" spans="1:25" x14ac:dyDescent="0.2">
      <c r="A202" s="568" t="s">
        <v>269</v>
      </c>
      <c r="B202" s="569" t="s">
        <v>1088</v>
      </c>
      <c r="C202" s="488">
        <v>5500</v>
      </c>
      <c r="D202" s="489">
        <v>5500</v>
      </c>
      <c r="E202" s="562">
        <v>2644</v>
      </c>
      <c r="F202" s="489">
        <v>3000</v>
      </c>
      <c r="G202" s="443"/>
      <c r="H202" s="447">
        <v>168</v>
      </c>
      <c r="I202" s="447">
        <v>240</v>
      </c>
      <c r="J202" s="447">
        <v>240</v>
      </c>
      <c r="K202" s="447">
        <v>240</v>
      </c>
      <c r="L202" s="447">
        <v>408</v>
      </c>
      <c r="M202" s="447">
        <v>408</v>
      </c>
      <c r="N202" s="447">
        <v>408</v>
      </c>
      <c r="O202" s="447">
        <v>408</v>
      </c>
      <c r="P202" s="447">
        <v>600</v>
      </c>
      <c r="Q202" s="447">
        <v>648</v>
      </c>
      <c r="R202" s="447">
        <v>936</v>
      </c>
      <c r="S202" s="447"/>
      <c r="T202" s="641">
        <v>1120</v>
      </c>
    </row>
    <row r="203" spans="1:25" x14ac:dyDescent="0.2">
      <c r="A203" s="568" t="s">
        <v>295</v>
      </c>
      <c r="B203" s="572" t="s">
        <v>1089</v>
      </c>
      <c r="C203" s="488">
        <v>1000</v>
      </c>
      <c r="D203" s="489">
        <v>1000</v>
      </c>
      <c r="E203" s="562">
        <v>213.49</v>
      </c>
      <c r="F203" s="489">
        <v>2000</v>
      </c>
      <c r="G203" s="443"/>
      <c r="H203" s="447">
        <v>9.84</v>
      </c>
      <c r="I203" s="447">
        <v>107.46</v>
      </c>
      <c r="J203" s="447">
        <v>107.46</v>
      </c>
      <c r="K203" s="447">
        <v>107.46</v>
      </c>
      <c r="L203" s="447">
        <v>107.46</v>
      </c>
      <c r="M203" s="447">
        <v>107.46</v>
      </c>
      <c r="N203" s="447">
        <v>107.46</v>
      </c>
      <c r="O203" s="447">
        <v>107.46</v>
      </c>
      <c r="P203" s="447">
        <v>107.46</v>
      </c>
      <c r="Q203" s="447">
        <v>107.46</v>
      </c>
      <c r="R203" s="447">
        <v>118.19</v>
      </c>
      <c r="S203" s="447"/>
      <c r="T203" s="641">
        <v>118.19</v>
      </c>
      <c r="U203" s="342">
        <v>2300</v>
      </c>
    </row>
    <row r="204" spans="1:25" x14ac:dyDescent="0.2">
      <c r="A204" s="468" t="s">
        <v>382</v>
      </c>
      <c r="B204" s="593" t="s">
        <v>1090</v>
      </c>
      <c r="C204" s="488">
        <v>8000</v>
      </c>
      <c r="D204" s="489">
        <v>3000</v>
      </c>
      <c r="E204" s="562">
        <v>0</v>
      </c>
      <c r="F204" s="489">
        <v>4000</v>
      </c>
      <c r="G204" s="443"/>
      <c r="H204" s="447">
        <v>0</v>
      </c>
      <c r="I204" s="447">
        <v>0</v>
      </c>
      <c r="J204" s="447">
        <v>0</v>
      </c>
      <c r="K204" s="447">
        <v>0</v>
      </c>
      <c r="L204" s="447">
        <v>0</v>
      </c>
      <c r="M204" s="447">
        <v>0</v>
      </c>
      <c r="N204" s="447">
        <v>0</v>
      </c>
      <c r="O204" s="447">
        <v>0</v>
      </c>
      <c r="P204" s="447">
        <v>0</v>
      </c>
      <c r="Q204" s="447">
        <v>0</v>
      </c>
      <c r="R204" s="447">
        <v>0</v>
      </c>
      <c r="S204" s="447"/>
      <c r="T204" s="641">
        <v>0</v>
      </c>
    </row>
    <row r="205" spans="1:25" x14ac:dyDescent="0.2">
      <c r="A205" s="568" t="s">
        <v>370</v>
      </c>
      <c r="B205" s="569" t="s">
        <v>1091</v>
      </c>
      <c r="C205" s="488">
        <v>1500</v>
      </c>
      <c r="D205" s="489">
        <v>1500</v>
      </c>
      <c r="E205" s="562">
        <v>31.3</v>
      </c>
      <c r="F205" s="489">
        <v>300</v>
      </c>
      <c r="G205" s="443"/>
      <c r="H205" s="447">
        <v>0</v>
      </c>
      <c r="I205" s="447">
        <v>0</v>
      </c>
      <c r="J205" s="447">
        <v>0</v>
      </c>
      <c r="K205" s="447">
        <v>0</v>
      </c>
      <c r="L205" s="447">
        <v>0</v>
      </c>
      <c r="M205" s="447">
        <v>0</v>
      </c>
      <c r="N205" s="447">
        <v>0</v>
      </c>
      <c r="O205" s="447">
        <v>0</v>
      </c>
      <c r="P205" s="447">
        <v>0</v>
      </c>
      <c r="Q205" s="447">
        <v>0</v>
      </c>
      <c r="R205" s="447">
        <v>0</v>
      </c>
      <c r="S205" s="447"/>
      <c r="T205" s="641">
        <v>0</v>
      </c>
    </row>
    <row r="206" spans="1:25" x14ac:dyDescent="0.2">
      <c r="A206" s="468" t="s">
        <v>1092</v>
      </c>
      <c r="B206" s="569" t="s">
        <v>1093</v>
      </c>
      <c r="C206" s="488">
        <v>2000</v>
      </c>
      <c r="D206" s="489">
        <v>17000</v>
      </c>
      <c r="E206" s="562">
        <v>16730.14</v>
      </c>
      <c r="F206" s="489">
        <v>4000</v>
      </c>
      <c r="G206" s="443"/>
      <c r="H206" s="447">
        <v>99</v>
      </c>
      <c r="I206" s="447">
        <v>851.9</v>
      </c>
      <c r="J206" s="447">
        <v>950.9</v>
      </c>
      <c r="K206" s="447">
        <v>1083.2</v>
      </c>
      <c r="L206" s="447">
        <v>1262.2</v>
      </c>
      <c r="M206" s="447">
        <v>1295.5</v>
      </c>
      <c r="N206" s="447">
        <v>1474.5</v>
      </c>
      <c r="O206" s="447">
        <v>1573.5</v>
      </c>
      <c r="P206" s="447">
        <v>1780.04</v>
      </c>
      <c r="Q206" s="447">
        <v>1879.04</v>
      </c>
      <c r="R206" s="447">
        <v>2000.18</v>
      </c>
      <c r="S206" s="455"/>
      <c r="T206" s="641">
        <v>2507.77</v>
      </c>
    </row>
    <row r="207" spans="1:25" x14ac:dyDescent="0.2">
      <c r="A207" s="468" t="s">
        <v>1094</v>
      </c>
      <c r="B207" s="569" t="s">
        <v>1095</v>
      </c>
      <c r="C207" s="488">
        <v>500</v>
      </c>
      <c r="D207" s="489">
        <v>500</v>
      </c>
      <c r="E207" s="562">
        <v>0</v>
      </c>
      <c r="F207" s="489">
        <v>700</v>
      </c>
      <c r="G207" s="443"/>
      <c r="H207" s="447">
        <v>0</v>
      </c>
      <c r="I207" s="447">
        <v>0</v>
      </c>
      <c r="J207" s="447">
        <v>0</v>
      </c>
      <c r="K207" s="447">
        <v>0</v>
      </c>
      <c r="L207" s="447">
        <v>0</v>
      </c>
      <c r="M207" s="447">
        <v>0</v>
      </c>
      <c r="N207" s="447">
        <v>0</v>
      </c>
      <c r="O207" s="447">
        <v>0</v>
      </c>
      <c r="P207" s="447">
        <v>0</v>
      </c>
      <c r="Q207" s="447">
        <v>0</v>
      </c>
      <c r="R207" s="447">
        <v>0</v>
      </c>
      <c r="S207" s="447"/>
      <c r="T207" s="641">
        <v>0</v>
      </c>
    </row>
    <row r="208" spans="1:25" s="367" customFormat="1" x14ac:dyDescent="0.2">
      <c r="A208" s="448" t="s">
        <v>1096</v>
      </c>
      <c r="B208" s="449" t="s">
        <v>1097</v>
      </c>
      <c r="C208" s="450"/>
      <c r="D208" s="451"/>
      <c r="E208" s="465"/>
      <c r="F208" s="451"/>
      <c r="G208" s="451"/>
      <c r="H208" s="457"/>
      <c r="I208" s="457"/>
      <c r="J208" s="457"/>
      <c r="K208" s="457"/>
      <c r="L208" s="457"/>
      <c r="M208" s="457"/>
      <c r="N208" s="457"/>
      <c r="O208" s="457"/>
      <c r="P208" s="457"/>
      <c r="Q208" s="457"/>
      <c r="R208" s="453"/>
      <c r="S208" s="457"/>
      <c r="T208" s="645"/>
      <c r="U208" s="365"/>
      <c r="V208" s="366"/>
    </row>
    <row r="209" spans="1:22" x14ac:dyDescent="0.2">
      <c r="A209" s="486" t="s">
        <v>1098</v>
      </c>
      <c r="B209" s="569" t="s">
        <v>1099</v>
      </c>
      <c r="C209" s="442">
        <v>11000</v>
      </c>
      <c r="D209" s="443">
        <v>11000</v>
      </c>
      <c r="E209" s="446">
        <v>7880</v>
      </c>
      <c r="F209" s="489">
        <v>11000</v>
      </c>
      <c r="G209" s="443"/>
      <c r="H209" s="447">
        <v>400</v>
      </c>
      <c r="I209" s="447">
        <v>700</v>
      </c>
      <c r="J209" s="447">
        <v>740</v>
      </c>
      <c r="K209" s="447">
        <v>760</v>
      </c>
      <c r="L209" s="447">
        <v>1160</v>
      </c>
      <c r="M209" s="447">
        <v>1180</v>
      </c>
      <c r="N209" s="447">
        <v>1980</v>
      </c>
      <c r="O209" s="447">
        <v>3320</v>
      </c>
      <c r="P209" s="447">
        <v>4200</v>
      </c>
      <c r="Q209" s="447">
        <v>5000</v>
      </c>
      <c r="R209" s="447">
        <v>5620</v>
      </c>
      <c r="S209" s="447"/>
      <c r="T209" s="641">
        <v>7280</v>
      </c>
    </row>
    <row r="210" spans="1:22" x14ac:dyDescent="0.2">
      <c r="A210" s="486" t="s">
        <v>247</v>
      </c>
      <c r="B210" s="569" t="s">
        <v>1100</v>
      </c>
      <c r="C210" s="442">
        <v>3000</v>
      </c>
      <c r="D210" s="443">
        <v>3000</v>
      </c>
      <c r="E210" s="446">
        <v>75.33</v>
      </c>
      <c r="F210" s="489">
        <v>1000</v>
      </c>
      <c r="G210" s="443"/>
      <c r="H210" s="447">
        <v>0</v>
      </c>
      <c r="I210" s="447">
        <v>58.2</v>
      </c>
      <c r="J210" s="447">
        <v>127.2</v>
      </c>
      <c r="K210" s="447">
        <v>127.2</v>
      </c>
      <c r="L210" s="447">
        <v>174.92</v>
      </c>
      <c r="M210" s="447">
        <v>174.92</v>
      </c>
      <c r="N210" s="447">
        <v>174.92</v>
      </c>
      <c r="O210" s="447">
        <v>174.92</v>
      </c>
      <c r="P210" s="447">
        <v>219.92</v>
      </c>
      <c r="Q210" s="447">
        <v>219.92</v>
      </c>
      <c r="R210" s="447">
        <v>219.92</v>
      </c>
      <c r="S210" s="447"/>
      <c r="T210" s="641">
        <v>501.44</v>
      </c>
    </row>
    <row r="211" spans="1:22" x14ac:dyDescent="0.2">
      <c r="A211" s="440" t="s">
        <v>1101</v>
      </c>
      <c r="B211" s="594" t="s">
        <v>1102</v>
      </c>
      <c r="C211" s="488">
        <v>4000</v>
      </c>
      <c r="D211" s="489">
        <v>4000</v>
      </c>
      <c r="E211" s="562">
        <v>660</v>
      </c>
      <c r="F211" s="489">
        <v>3000</v>
      </c>
      <c r="G211" s="443"/>
      <c r="H211" s="447">
        <v>0</v>
      </c>
      <c r="I211" s="447">
        <v>0</v>
      </c>
      <c r="J211" s="447">
        <v>0</v>
      </c>
      <c r="K211" s="447">
        <v>0</v>
      </c>
      <c r="L211" s="447">
        <v>660</v>
      </c>
      <c r="M211" s="447">
        <v>1290</v>
      </c>
      <c r="N211" s="447">
        <v>1290</v>
      </c>
      <c r="O211" s="447">
        <v>1997.2</v>
      </c>
      <c r="P211" s="447">
        <v>2697.2</v>
      </c>
      <c r="Q211" s="447">
        <v>2697.2</v>
      </c>
      <c r="R211" s="447">
        <v>2862.2</v>
      </c>
      <c r="S211" s="447"/>
      <c r="T211" s="640">
        <v>4544.7</v>
      </c>
    </row>
    <row r="212" spans="1:22" x14ac:dyDescent="0.2">
      <c r="A212" s="486" t="s">
        <v>272</v>
      </c>
      <c r="B212" s="569" t="s">
        <v>1103</v>
      </c>
      <c r="C212" s="488">
        <v>1500</v>
      </c>
      <c r="D212" s="489">
        <v>1500</v>
      </c>
      <c r="E212" s="562">
        <v>0</v>
      </c>
      <c r="F212" s="489">
        <v>500</v>
      </c>
      <c r="G212" s="443"/>
      <c r="H212" s="447">
        <v>0</v>
      </c>
      <c r="I212" s="447">
        <v>0</v>
      </c>
      <c r="J212" s="447">
        <v>0</v>
      </c>
      <c r="K212" s="447">
        <v>0</v>
      </c>
      <c r="L212" s="447">
        <v>0</v>
      </c>
      <c r="M212" s="447">
        <v>0</v>
      </c>
      <c r="N212" s="447">
        <v>0</v>
      </c>
      <c r="O212" s="447">
        <v>0</v>
      </c>
      <c r="P212" s="447">
        <v>0</v>
      </c>
      <c r="Q212" s="447">
        <v>0</v>
      </c>
      <c r="R212" s="447">
        <v>0</v>
      </c>
      <c r="S212" s="447"/>
      <c r="T212" s="641">
        <v>302.39999999999998</v>
      </c>
    </row>
    <row r="213" spans="1:22" x14ac:dyDescent="0.2">
      <c r="A213" s="486" t="s">
        <v>297</v>
      </c>
      <c r="B213" s="572" t="s">
        <v>1104</v>
      </c>
      <c r="C213" s="488">
        <v>500</v>
      </c>
      <c r="D213" s="489">
        <v>500</v>
      </c>
      <c r="E213" s="562">
        <v>0</v>
      </c>
      <c r="F213" s="489">
        <v>100</v>
      </c>
      <c r="G213" s="443"/>
      <c r="H213" s="447">
        <v>0</v>
      </c>
      <c r="I213" s="447">
        <v>0</v>
      </c>
      <c r="J213" s="447">
        <v>0</v>
      </c>
      <c r="K213" s="447">
        <v>0</v>
      </c>
      <c r="L213" s="447">
        <v>0</v>
      </c>
      <c r="M213" s="447">
        <v>0</v>
      </c>
      <c r="N213" s="447">
        <v>0</v>
      </c>
      <c r="O213" s="447">
        <v>0</v>
      </c>
      <c r="P213" s="447">
        <v>0</v>
      </c>
      <c r="Q213" s="447">
        <v>0</v>
      </c>
      <c r="R213" s="447">
        <v>0</v>
      </c>
      <c r="S213" s="447"/>
      <c r="T213" s="641">
        <v>0</v>
      </c>
    </row>
    <row r="214" spans="1:22" x14ac:dyDescent="0.2">
      <c r="A214" s="440" t="s">
        <v>384</v>
      </c>
      <c r="B214" s="593" t="s">
        <v>1105</v>
      </c>
      <c r="C214" s="488">
        <v>1000</v>
      </c>
      <c r="D214" s="489">
        <v>1000</v>
      </c>
      <c r="E214" s="562">
        <v>0</v>
      </c>
      <c r="F214" s="489">
        <v>500</v>
      </c>
      <c r="G214" s="443"/>
      <c r="H214" s="447">
        <v>0</v>
      </c>
      <c r="I214" s="447">
        <v>0</v>
      </c>
      <c r="J214" s="447">
        <v>0</v>
      </c>
      <c r="K214" s="447">
        <v>0</v>
      </c>
      <c r="L214" s="447">
        <v>0</v>
      </c>
      <c r="M214" s="447">
        <v>0</v>
      </c>
      <c r="N214" s="447">
        <v>0</v>
      </c>
      <c r="O214" s="447">
        <v>0</v>
      </c>
      <c r="P214" s="447">
        <v>0</v>
      </c>
      <c r="Q214" s="447">
        <v>0</v>
      </c>
      <c r="R214" s="447">
        <v>0</v>
      </c>
      <c r="S214" s="447"/>
      <c r="T214" s="641">
        <v>0</v>
      </c>
    </row>
    <row r="215" spans="1:22" x14ac:dyDescent="0.2">
      <c r="A215" s="440" t="s">
        <v>372</v>
      </c>
      <c r="B215" s="569" t="s">
        <v>1106</v>
      </c>
      <c r="C215" s="488">
        <v>1000</v>
      </c>
      <c r="D215" s="489">
        <v>1000</v>
      </c>
      <c r="E215" s="562">
        <v>0</v>
      </c>
      <c r="F215" s="489">
        <v>100</v>
      </c>
      <c r="G215" s="443"/>
      <c r="H215" s="447">
        <v>0</v>
      </c>
      <c r="I215" s="447">
        <v>0</v>
      </c>
      <c r="J215" s="447">
        <v>0</v>
      </c>
      <c r="K215" s="447">
        <v>0</v>
      </c>
      <c r="L215" s="447">
        <v>0</v>
      </c>
      <c r="M215" s="447">
        <v>0</v>
      </c>
      <c r="N215" s="447">
        <v>0</v>
      </c>
      <c r="O215" s="447">
        <v>0</v>
      </c>
      <c r="P215" s="447">
        <v>0</v>
      </c>
      <c r="Q215" s="447">
        <v>0</v>
      </c>
      <c r="R215" s="447">
        <v>0</v>
      </c>
      <c r="S215" s="447"/>
      <c r="T215" s="641">
        <v>0</v>
      </c>
    </row>
    <row r="216" spans="1:22" x14ac:dyDescent="0.2">
      <c r="A216" s="440" t="s">
        <v>1107</v>
      </c>
      <c r="B216" s="569" t="s">
        <v>1108</v>
      </c>
      <c r="C216" s="488">
        <v>2500</v>
      </c>
      <c r="D216" s="489">
        <v>2500</v>
      </c>
      <c r="E216" s="562">
        <v>0</v>
      </c>
      <c r="F216" s="489">
        <v>500</v>
      </c>
      <c r="G216" s="443"/>
      <c r="H216" s="447">
        <v>0</v>
      </c>
      <c r="I216" s="447">
        <v>30</v>
      </c>
      <c r="J216" s="447">
        <v>30</v>
      </c>
      <c r="K216" s="447">
        <v>30</v>
      </c>
      <c r="L216" s="447">
        <v>30</v>
      </c>
      <c r="M216" s="447">
        <v>30</v>
      </c>
      <c r="N216" s="447">
        <v>30</v>
      </c>
      <c r="O216" s="447">
        <v>30</v>
      </c>
      <c r="P216" s="447">
        <v>30</v>
      </c>
      <c r="Q216" s="447">
        <v>30</v>
      </c>
      <c r="R216" s="447">
        <v>30</v>
      </c>
      <c r="S216" s="447"/>
      <c r="T216" s="641">
        <v>30</v>
      </c>
    </row>
    <row r="217" spans="1:22" x14ac:dyDescent="0.2">
      <c r="A217" s="440" t="s">
        <v>1109</v>
      </c>
      <c r="B217" s="569" t="s">
        <v>1110</v>
      </c>
      <c r="C217" s="488">
        <v>1000</v>
      </c>
      <c r="D217" s="489">
        <v>1000</v>
      </c>
      <c r="E217" s="562">
        <v>0</v>
      </c>
      <c r="F217" s="489">
        <v>200</v>
      </c>
      <c r="G217" s="443"/>
      <c r="H217" s="447">
        <v>0</v>
      </c>
      <c r="I217" s="447">
        <v>0</v>
      </c>
      <c r="J217" s="447">
        <v>0</v>
      </c>
      <c r="K217" s="447">
        <v>0</v>
      </c>
      <c r="L217" s="447">
        <v>0</v>
      </c>
      <c r="M217" s="447">
        <v>0</v>
      </c>
      <c r="N217" s="447">
        <v>0</v>
      </c>
      <c r="O217" s="447">
        <v>0</v>
      </c>
      <c r="P217" s="447">
        <v>0</v>
      </c>
      <c r="Q217" s="447">
        <v>0</v>
      </c>
      <c r="R217" s="447">
        <v>0</v>
      </c>
      <c r="S217" s="447"/>
      <c r="T217" s="641">
        <v>0</v>
      </c>
    </row>
    <row r="218" spans="1:22" s="367" customFormat="1" x14ac:dyDescent="0.2">
      <c r="A218" s="448" t="s">
        <v>1111</v>
      </c>
      <c r="B218" s="449" t="s">
        <v>1112</v>
      </c>
      <c r="C218" s="450"/>
      <c r="D218" s="451"/>
      <c r="E218" s="465"/>
      <c r="F218" s="451"/>
      <c r="G218" s="451"/>
      <c r="H218" s="457"/>
      <c r="I218" s="457"/>
      <c r="J218" s="457"/>
      <c r="K218" s="457"/>
      <c r="L218" s="457"/>
      <c r="M218" s="457"/>
      <c r="N218" s="457"/>
      <c r="O218" s="457"/>
      <c r="P218" s="457"/>
      <c r="Q218" s="457"/>
      <c r="R218" s="453"/>
      <c r="S218" s="457"/>
      <c r="T218" s="645"/>
      <c r="U218" s="365"/>
      <c r="V218" s="366"/>
    </row>
    <row r="219" spans="1:22" x14ac:dyDescent="0.2">
      <c r="A219" s="486" t="s">
        <v>1113</v>
      </c>
      <c r="B219" s="572" t="s">
        <v>1114</v>
      </c>
      <c r="C219" s="488">
        <v>12000</v>
      </c>
      <c r="D219" s="489">
        <v>12000</v>
      </c>
      <c r="E219" s="490">
        <v>9980</v>
      </c>
      <c r="F219" s="489">
        <v>12000</v>
      </c>
      <c r="G219" s="443"/>
      <c r="H219" s="445">
        <v>800</v>
      </c>
      <c r="I219" s="445">
        <v>1660</v>
      </c>
      <c r="J219" s="445">
        <v>2990</v>
      </c>
      <c r="K219" s="445">
        <v>3970</v>
      </c>
      <c r="L219" s="445">
        <v>4990</v>
      </c>
      <c r="M219" s="445">
        <v>5790</v>
      </c>
      <c r="N219" s="445">
        <v>5790</v>
      </c>
      <c r="O219" s="445">
        <v>6970</v>
      </c>
      <c r="P219" s="445">
        <v>7990</v>
      </c>
      <c r="Q219" s="445">
        <v>8970</v>
      </c>
      <c r="R219" s="445">
        <v>10210</v>
      </c>
      <c r="S219" s="445"/>
      <c r="T219" s="640">
        <v>12610</v>
      </c>
    </row>
    <row r="220" spans="1:22" x14ac:dyDescent="0.2">
      <c r="A220" s="486" t="s">
        <v>249</v>
      </c>
      <c r="B220" s="572" t="s">
        <v>1115</v>
      </c>
      <c r="C220" s="488">
        <v>5000</v>
      </c>
      <c r="D220" s="489">
        <v>5000</v>
      </c>
      <c r="E220" s="490">
        <v>0</v>
      </c>
      <c r="F220" s="489">
        <v>1500</v>
      </c>
      <c r="G220" s="443"/>
      <c r="H220" s="445">
        <v>0</v>
      </c>
      <c r="I220" s="445">
        <v>31.8</v>
      </c>
      <c r="J220" s="445">
        <v>175.3</v>
      </c>
      <c r="K220" s="445">
        <v>175.3</v>
      </c>
      <c r="L220" s="445">
        <v>175.3</v>
      </c>
      <c r="M220" s="445">
        <v>174.7</v>
      </c>
      <c r="N220" s="445">
        <v>174.7</v>
      </c>
      <c r="O220" s="445">
        <v>313.39999999999998</v>
      </c>
      <c r="P220" s="445">
        <v>313.39999999999998</v>
      </c>
      <c r="Q220" s="445">
        <v>313.39999999999998</v>
      </c>
      <c r="R220" s="445">
        <v>627.16</v>
      </c>
      <c r="S220" s="445"/>
      <c r="T220" s="647">
        <v>897.76</v>
      </c>
    </row>
    <row r="221" spans="1:22" x14ac:dyDescent="0.2">
      <c r="A221" s="440" t="s">
        <v>1116</v>
      </c>
      <c r="B221" s="593" t="s">
        <v>1117</v>
      </c>
      <c r="C221" s="488">
        <v>13000</v>
      </c>
      <c r="D221" s="489">
        <v>18000</v>
      </c>
      <c r="E221" s="565">
        <v>21240</v>
      </c>
      <c r="F221" s="489">
        <v>23000</v>
      </c>
      <c r="G221" s="443"/>
      <c r="H221" s="445">
        <v>0</v>
      </c>
      <c r="I221" s="445">
        <v>0</v>
      </c>
      <c r="J221" s="445">
        <v>0</v>
      </c>
      <c r="K221" s="445">
        <v>0</v>
      </c>
      <c r="L221" s="445">
        <v>0</v>
      </c>
      <c r="M221" s="445">
        <v>0</v>
      </c>
      <c r="N221" s="445">
        <v>2835</v>
      </c>
      <c r="O221" s="445">
        <v>2835</v>
      </c>
      <c r="P221" s="445">
        <v>10395</v>
      </c>
      <c r="Q221" s="445">
        <v>10395</v>
      </c>
      <c r="R221" s="445">
        <v>11835</v>
      </c>
      <c r="S221" s="445"/>
      <c r="T221" s="647">
        <v>22905</v>
      </c>
    </row>
    <row r="222" spans="1:22" x14ac:dyDescent="0.2">
      <c r="A222" s="486" t="s">
        <v>275</v>
      </c>
      <c r="B222" s="572" t="s">
        <v>1118</v>
      </c>
      <c r="C222" s="488">
        <v>2000</v>
      </c>
      <c r="D222" s="489">
        <v>2000</v>
      </c>
      <c r="E222" s="490">
        <v>0</v>
      </c>
      <c r="F222" s="489">
        <v>500</v>
      </c>
      <c r="G222" s="443"/>
      <c r="H222" s="445">
        <v>0</v>
      </c>
      <c r="I222" s="445">
        <v>0</v>
      </c>
      <c r="J222" s="445">
        <v>114</v>
      </c>
      <c r="K222" s="445">
        <v>114</v>
      </c>
      <c r="L222" s="445">
        <v>114</v>
      </c>
      <c r="M222" s="445">
        <v>114</v>
      </c>
      <c r="N222" s="445">
        <v>114</v>
      </c>
      <c r="O222" s="445">
        <v>179</v>
      </c>
      <c r="P222" s="445">
        <v>179</v>
      </c>
      <c r="Q222" s="445">
        <v>179</v>
      </c>
      <c r="R222" s="445">
        <v>179</v>
      </c>
      <c r="S222" s="445"/>
      <c r="T222" s="640">
        <v>551</v>
      </c>
    </row>
    <row r="223" spans="1:22" x14ac:dyDescent="0.2">
      <c r="A223" s="486" t="s">
        <v>299</v>
      </c>
      <c r="B223" s="572" t="s">
        <v>1119</v>
      </c>
      <c r="C223" s="488">
        <v>2000</v>
      </c>
      <c r="D223" s="489">
        <v>2000</v>
      </c>
      <c r="E223" s="490">
        <v>0</v>
      </c>
      <c r="F223" s="489">
        <v>500</v>
      </c>
      <c r="G223" s="443"/>
      <c r="H223" s="445">
        <v>0</v>
      </c>
      <c r="I223" s="445">
        <v>0</v>
      </c>
      <c r="J223" s="445">
        <v>0</v>
      </c>
      <c r="K223" s="445">
        <v>0</v>
      </c>
      <c r="L223" s="445">
        <v>0</v>
      </c>
      <c r="M223" s="445">
        <v>0</v>
      </c>
      <c r="N223" s="445">
        <v>0</v>
      </c>
      <c r="O223" s="445">
        <v>0</v>
      </c>
      <c r="P223" s="445">
        <v>0</v>
      </c>
      <c r="Q223" s="445">
        <v>0</v>
      </c>
      <c r="R223" s="445">
        <v>0</v>
      </c>
      <c r="S223" s="445"/>
      <c r="T223" s="647">
        <v>0</v>
      </c>
    </row>
    <row r="224" spans="1:22" x14ac:dyDescent="0.2">
      <c r="A224" s="440" t="s">
        <v>386</v>
      </c>
      <c r="B224" s="593" t="s">
        <v>1120</v>
      </c>
      <c r="C224" s="488">
        <v>2500</v>
      </c>
      <c r="D224" s="489">
        <v>2500</v>
      </c>
      <c r="E224" s="490">
        <v>0</v>
      </c>
      <c r="F224" s="489">
        <v>2000</v>
      </c>
      <c r="G224" s="443"/>
      <c r="H224" s="445">
        <v>0</v>
      </c>
      <c r="I224" s="445">
        <v>0</v>
      </c>
      <c r="J224" s="445">
        <v>0</v>
      </c>
      <c r="K224" s="445">
        <v>0</v>
      </c>
      <c r="L224" s="445">
        <v>0</v>
      </c>
      <c r="M224" s="445">
        <v>0</v>
      </c>
      <c r="N224" s="445">
        <v>0</v>
      </c>
      <c r="O224" s="445">
        <v>0</v>
      </c>
      <c r="P224" s="445">
        <v>0</v>
      </c>
      <c r="Q224" s="445">
        <v>0</v>
      </c>
      <c r="R224" s="445">
        <v>0</v>
      </c>
      <c r="S224" s="445"/>
      <c r="T224" s="647">
        <v>0</v>
      </c>
    </row>
    <row r="225" spans="1:22" x14ac:dyDescent="0.2">
      <c r="A225" s="440" t="s">
        <v>374</v>
      </c>
      <c r="B225" s="572" t="s">
        <v>1121</v>
      </c>
      <c r="C225" s="488">
        <v>3000</v>
      </c>
      <c r="D225" s="489">
        <v>3000</v>
      </c>
      <c r="E225" s="490">
        <v>0</v>
      </c>
      <c r="F225" s="489">
        <v>200</v>
      </c>
      <c r="G225" s="443"/>
      <c r="H225" s="445">
        <v>0</v>
      </c>
      <c r="I225" s="445">
        <v>0</v>
      </c>
      <c r="J225" s="445">
        <v>0</v>
      </c>
      <c r="K225" s="445">
        <v>0</v>
      </c>
      <c r="L225" s="445">
        <v>0</v>
      </c>
      <c r="M225" s="445">
        <v>0</v>
      </c>
      <c r="N225" s="445">
        <v>0</v>
      </c>
      <c r="O225" s="445">
        <v>0</v>
      </c>
      <c r="P225" s="445">
        <v>0</v>
      </c>
      <c r="Q225" s="445">
        <v>0</v>
      </c>
      <c r="R225" s="445">
        <v>0</v>
      </c>
      <c r="S225" s="445"/>
      <c r="T225" s="647">
        <v>0</v>
      </c>
    </row>
    <row r="226" spans="1:22" x14ac:dyDescent="0.2">
      <c r="A226" s="440" t="s">
        <v>1122</v>
      </c>
      <c r="B226" s="572" t="s">
        <v>1123</v>
      </c>
      <c r="C226" s="488">
        <v>5000</v>
      </c>
      <c r="D226" s="489">
        <v>5000</v>
      </c>
      <c r="E226" s="490">
        <v>0</v>
      </c>
      <c r="F226" s="489">
        <v>1000</v>
      </c>
      <c r="G226" s="443"/>
      <c r="H226" s="445">
        <v>0</v>
      </c>
      <c r="I226" s="445">
        <v>0</v>
      </c>
      <c r="J226" s="445">
        <v>0</v>
      </c>
      <c r="K226" s="445">
        <v>0</v>
      </c>
      <c r="L226" s="445">
        <v>0</v>
      </c>
      <c r="M226" s="445">
        <v>0</v>
      </c>
      <c r="N226" s="445">
        <v>0</v>
      </c>
      <c r="O226" s="445">
        <v>0</v>
      </c>
      <c r="P226" s="445">
        <v>0</v>
      </c>
      <c r="Q226" s="445">
        <v>0</v>
      </c>
      <c r="R226" s="445">
        <v>0</v>
      </c>
      <c r="S226" s="445"/>
      <c r="T226" s="647">
        <v>30</v>
      </c>
    </row>
    <row r="227" spans="1:22" x14ac:dyDescent="0.2">
      <c r="A227" s="440" t="s">
        <v>1124</v>
      </c>
      <c r="B227" s="572" t="s">
        <v>1125</v>
      </c>
      <c r="C227" s="488">
        <v>1000</v>
      </c>
      <c r="D227" s="489">
        <v>1000</v>
      </c>
      <c r="E227" s="490">
        <v>0</v>
      </c>
      <c r="F227" s="489">
        <v>500</v>
      </c>
      <c r="G227" s="443"/>
      <c r="H227" s="445">
        <v>0</v>
      </c>
      <c r="I227" s="445">
        <v>0</v>
      </c>
      <c r="J227" s="445">
        <v>0</v>
      </c>
      <c r="K227" s="445">
        <v>0</v>
      </c>
      <c r="L227" s="445">
        <v>0</v>
      </c>
      <c r="M227" s="445">
        <v>0</v>
      </c>
      <c r="N227" s="445">
        <v>0</v>
      </c>
      <c r="O227" s="445">
        <v>0</v>
      </c>
      <c r="P227" s="445">
        <v>0</v>
      </c>
      <c r="Q227" s="445">
        <v>0</v>
      </c>
      <c r="R227" s="445">
        <v>0</v>
      </c>
      <c r="S227" s="445"/>
      <c r="T227" s="647">
        <v>0</v>
      </c>
    </row>
    <row r="228" spans="1:22" s="367" customFormat="1" x14ac:dyDescent="0.2">
      <c r="A228" s="448" t="s">
        <v>1126</v>
      </c>
      <c r="B228" s="449" t="s">
        <v>1127</v>
      </c>
      <c r="C228" s="450"/>
      <c r="D228" s="451"/>
      <c r="E228" s="465"/>
      <c r="F228" s="451"/>
      <c r="G228" s="451"/>
      <c r="H228" s="457"/>
      <c r="I228" s="458"/>
      <c r="J228" s="458"/>
      <c r="K228" s="458"/>
      <c r="L228" s="458"/>
      <c r="M228" s="458"/>
      <c r="N228" s="458"/>
      <c r="O228" s="458"/>
      <c r="P228" s="457"/>
      <c r="Q228" s="457"/>
      <c r="R228" s="453"/>
      <c r="S228" s="457"/>
      <c r="T228" s="645"/>
      <c r="U228" s="365"/>
      <c r="V228" s="366"/>
    </row>
    <row r="229" spans="1:22" x14ac:dyDescent="0.2">
      <c r="A229" s="486" t="s">
        <v>1128</v>
      </c>
      <c r="B229" s="572" t="s">
        <v>1129</v>
      </c>
      <c r="C229" s="442">
        <v>20000</v>
      </c>
      <c r="D229" s="443">
        <v>20000</v>
      </c>
      <c r="E229" s="446">
        <v>10865</v>
      </c>
      <c r="F229" s="489">
        <v>14000</v>
      </c>
      <c r="G229" s="443"/>
      <c r="H229" s="447">
        <v>890</v>
      </c>
      <c r="I229" s="447">
        <v>2400</v>
      </c>
      <c r="J229" s="447">
        <v>3200</v>
      </c>
      <c r="K229" s="447">
        <v>4220</v>
      </c>
      <c r="L229" s="447">
        <v>5085</v>
      </c>
      <c r="M229" s="447">
        <v>6035</v>
      </c>
      <c r="N229" s="447">
        <v>6140</v>
      </c>
      <c r="O229" s="447">
        <v>6940</v>
      </c>
      <c r="P229" s="447">
        <v>7950</v>
      </c>
      <c r="Q229" s="447">
        <v>8860</v>
      </c>
      <c r="R229" s="447">
        <v>9725</v>
      </c>
      <c r="S229" s="447"/>
      <c r="T229" s="641">
        <v>11870</v>
      </c>
    </row>
    <row r="230" spans="1:22" x14ac:dyDescent="0.2">
      <c r="A230" s="486" t="s">
        <v>251</v>
      </c>
      <c r="B230" s="572" t="s">
        <v>1130</v>
      </c>
      <c r="C230" s="442">
        <v>15000</v>
      </c>
      <c r="D230" s="443">
        <v>15000</v>
      </c>
      <c r="E230" s="446">
        <v>2447.61</v>
      </c>
      <c r="F230" s="489">
        <v>8000</v>
      </c>
      <c r="G230" s="443"/>
      <c r="H230" s="447">
        <v>106.2</v>
      </c>
      <c r="I230" s="447">
        <v>677.5</v>
      </c>
      <c r="J230" s="447">
        <v>677.5</v>
      </c>
      <c r="K230" s="447">
        <v>677.5</v>
      </c>
      <c r="L230" s="447">
        <v>1048.3</v>
      </c>
      <c r="M230" s="447">
        <v>1060.3</v>
      </c>
      <c r="N230" s="447">
        <v>1242.7</v>
      </c>
      <c r="O230" s="447">
        <v>1242.7</v>
      </c>
      <c r="P230" s="447">
        <v>1429.9</v>
      </c>
      <c r="Q230" s="447">
        <v>1549.7</v>
      </c>
      <c r="R230" s="447">
        <v>1649.9</v>
      </c>
      <c r="S230" s="447"/>
      <c r="T230" s="641">
        <v>1852.7</v>
      </c>
    </row>
    <row r="231" spans="1:22" x14ac:dyDescent="0.2">
      <c r="A231" s="440" t="s">
        <v>1131</v>
      </c>
      <c r="B231" s="593" t="s">
        <v>1132</v>
      </c>
      <c r="C231" s="488">
        <v>25000</v>
      </c>
      <c r="D231" s="489">
        <v>40000</v>
      </c>
      <c r="E231" s="565">
        <v>45174.91</v>
      </c>
      <c r="F231" s="489">
        <v>42000</v>
      </c>
      <c r="G231" s="443"/>
      <c r="H231" s="447">
        <v>825</v>
      </c>
      <c r="I231" s="447">
        <v>825</v>
      </c>
      <c r="J231" s="447">
        <v>825</v>
      </c>
      <c r="K231" s="447">
        <v>2681.25</v>
      </c>
      <c r="L231" s="447">
        <v>3258.75</v>
      </c>
      <c r="M231" s="447">
        <v>17436.63</v>
      </c>
      <c r="N231" s="447">
        <v>16652.88</v>
      </c>
      <c r="O231" s="447">
        <v>17477.88</v>
      </c>
      <c r="P231" s="447">
        <v>18302.88</v>
      </c>
      <c r="Q231" s="447">
        <v>18302.88</v>
      </c>
      <c r="R231" s="447">
        <v>19114.13</v>
      </c>
      <c r="S231" s="447"/>
      <c r="T231" s="641">
        <v>25892.880000000001</v>
      </c>
    </row>
    <row r="232" spans="1:22" x14ac:dyDescent="0.2">
      <c r="A232" s="486" t="s">
        <v>278</v>
      </c>
      <c r="B232" s="572" t="s">
        <v>1133</v>
      </c>
      <c r="C232" s="488">
        <v>3500</v>
      </c>
      <c r="D232" s="489">
        <v>3500</v>
      </c>
      <c r="E232" s="562">
        <v>547</v>
      </c>
      <c r="F232" s="489">
        <v>2000</v>
      </c>
      <c r="G232" s="443"/>
      <c r="H232" s="447">
        <v>0</v>
      </c>
      <c r="I232" s="447">
        <v>0</v>
      </c>
      <c r="J232" s="447">
        <v>0</v>
      </c>
      <c r="K232" s="447">
        <v>0</v>
      </c>
      <c r="L232" s="447">
        <v>0</v>
      </c>
      <c r="M232" s="447">
        <v>0</v>
      </c>
      <c r="N232" s="447">
        <v>0</v>
      </c>
      <c r="O232" s="447">
        <v>72</v>
      </c>
      <c r="P232" s="447">
        <v>72</v>
      </c>
      <c r="Q232" s="447">
        <v>72</v>
      </c>
      <c r="R232" s="447">
        <v>72</v>
      </c>
      <c r="S232" s="447"/>
      <c r="T232" s="641">
        <v>144</v>
      </c>
    </row>
    <row r="233" spans="1:22" x14ac:dyDescent="0.2">
      <c r="A233" s="486" t="s">
        <v>301</v>
      </c>
      <c r="B233" s="572" t="s">
        <v>1134</v>
      </c>
      <c r="C233" s="488">
        <v>1000</v>
      </c>
      <c r="D233" s="489">
        <v>1000</v>
      </c>
      <c r="E233" s="562">
        <v>0</v>
      </c>
      <c r="F233" s="489">
        <v>500</v>
      </c>
      <c r="G233" s="443"/>
      <c r="H233" s="447">
        <v>0</v>
      </c>
      <c r="I233" s="447">
        <v>0</v>
      </c>
      <c r="J233" s="447">
        <v>0</v>
      </c>
      <c r="K233" s="447">
        <v>0</v>
      </c>
      <c r="L233" s="447">
        <v>24</v>
      </c>
      <c r="M233" s="447">
        <v>24</v>
      </c>
      <c r="N233" s="447">
        <v>48</v>
      </c>
      <c r="O233" s="447">
        <v>24</v>
      </c>
      <c r="P233" s="447">
        <v>24</v>
      </c>
      <c r="Q233" s="447">
        <v>24</v>
      </c>
      <c r="R233" s="447">
        <v>24</v>
      </c>
      <c r="S233" s="447"/>
      <c r="T233" s="641">
        <v>24</v>
      </c>
    </row>
    <row r="234" spans="1:22" x14ac:dyDescent="0.2">
      <c r="A234" s="440" t="s">
        <v>388</v>
      </c>
      <c r="B234" s="593" t="s">
        <v>1135</v>
      </c>
      <c r="C234" s="488">
        <v>5000</v>
      </c>
      <c r="D234" s="489">
        <v>5000</v>
      </c>
      <c r="E234" s="562">
        <v>0</v>
      </c>
      <c r="F234" s="489">
        <v>4000</v>
      </c>
      <c r="G234" s="443"/>
      <c r="H234" s="447">
        <v>0</v>
      </c>
      <c r="I234" s="447">
        <v>0</v>
      </c>
      <c r="J234" s="447">
        <v>0</v>
      </c>
      <c r="K234" s="447">
        <v>0</v>
      </c>
      <c r="L234" s="447">
        <v>0</v>
      </c>
      <c r="M234" s="447">
        <v>0</v>
      </c>
      <c r="N234" s="447">
        <v>24</v>
      </c>
      <c r="O234" s="447">
        <v>0</v>
      </c>
      <c r="P234" s="447">
        <v>0</v>
      </c>
      <c r="Q234" s="447">
        <v>0</v>
      </c>
      <c r="R234" s="447">
        <v>0</v>
      </c>
      <c r="S234" s="447"/>
      <c r="T234" s="641">
        <v>0</v>
      </c>
    </row>
    <row r="235" spans="1:22" x14ac:dyDescent="0.2">
      <c r="A235" s="440" t="s">
        <v>376</v>
      </c>
      <c r="B235" s="572" t="s">
        <v>1136</v>
      </c>
      <c r="C235" s="488">
        <v>6000</v>
      </c>
      <c r="D235" s="489">
        <v>6000</v>
      </c>
      <c r="E235" s="562">
        <v>0</v>
      </c>
      <c r="F235" s="489">
        <v>300</v>
      </c>
      <c r="G235" s="443"/>
      <c r="H235" s="447">
        <v>0</v>
      </c>
      <c r="I235" s="447">
        <v>0</v>
      </c>
      <c r="J235" s="447">
        <v>0</v>
      </c>
      <c r="K235" s="447">
        <v>0</v>
      </c>
      <c r="L235" s="447">
        <v>0</v>
      </c>
      <c r="M235" s="447">
        <v>0</v>
      </c>
      <c r="N235" s="447">
        <v>0</v>
      </c>
      <c r="O235" s="447">
        <v>0</v>
      </c>
      <c r="P235" s="447">
        <v>0</v>
      </c>
      <c r="Q235" s="447">
        <v>0</v>
      </c>
      <c r="R235" s="447">
        <v>0</v>
      </c>
      <c r="S235" s="447"/>
      <c r="T235" s="641">
        <v>0</v>
      </c>
    </row>
    <row r="236" spans="1:22" x14ac:dyDescent="0.2">
      <c r="A236" s="440" t="s">
        <v>1137</v>
      </c>
      <c r="B236" s="572" t="s">
        <v>1138</v>
      </c>
      <c r="C236" s="488">
        <v>5000</v>
      </c>
      <c r="D236" s="489">
        <v>5000</v>
      </c>
      <c r="E236" s="562">
        <v>2615.9899999999998</v>
      </c>
      <c r="F236" s="489">
        <v>3000</v>
      </c>
      <c r="G236" s="443"/>
      <c r="H236" s="447">
        <v>99</v>
      </c>
      <c r="I236" s="447">
        <v>198</v>
      </c>
      <c r="J236" s="447">
        <v>297</v>
      </c>
      <c r="K236" s="447">
        <v>396</v>
      </c>
      <c r="L236" s="447">
        <v>495</v>
      </c>
      <c r="M236" s="447">
        <v>495</v>
      </c>
      <c r="N236" s="447">
        <v>594</v>
      </c>
      <c r="O236" s="447">
        <v>693</v>
      </c>
      <c r="P236" s="447">
        <v>792</v>
      </c>
      <c r="Q236" s="447">
        <v>1441</v>
      </c>
      <c r="R236" s="447">
        <v>2361.1</v>
      </c>
      <c r="S236" s="447"/>
      <c r="T236" s="641">
        <v>2559.1</v>
      </c>
    </row>
    <row r="237" spans="1:22" x14ac:dyDescent="0.2">
      <c r="A237" s="440" t="s">
        <v>1139</v>
      </c>
      <c r="B237" s="572" t="s">
        <v>1140</v>
      </c>
      <c r="C237" s="488">
        <v>1000</v>
      </c>
      <c r="D237" s="489">
        <v>1000</v>
      </c>
      <c r="E237" s="562">
        <v>600</v>
      </c>
      <c r="F237" s="489">
        <v>1500</v>
      </c>
      <c r="G237" s="443"/>
      <c r="H237" s="447">
        <v>160.65</v>
      </c>
      <c r="I237" s="447">
        <v>160.65</v>
      </c>
      <c r="J237" s="447">
        <v>160.65</v>
      </c>
      <c r="K237" s="447">
        <v>160.65</v>
      </c>
      <c r="L237" s="447">
        <v>160.65</v>
      </c>
      <c r="M237" s="447">
        <v>160.65</v>
      </c>
      <c r="N237" s="447">
        <v>160.65</v>
      </c>
      <c r="O237" s="447">
        <v>160.65</v>
      </c>
      <c r="P237" s="447">
        <v>160.65</v>
      </c>
      <c r="Q237" s="447">
        <v>160.65</v>
      </c>
      <c r="R237" s="447">
        <v>160.65</v>
      </c>
      <c r="S237" s="447"/>
      <c r="T237" s="641">
        <v>160.65</v>
      </c>
    </row>
    <row r="238" spans="1:22" s="367" customFormat="1" x14ac:dyDescent="0.2">
      <c r="A238" s="448" t="s">
        <v>1141</v>
      </c>
      <c r="B238" s="449" t="s">
        <v>1142</v>
      </c>
      <c r="C238" s="450"/>
      <c r="D238" s="451"/>
      <c r="E238" s="456"/>
      <c r="F238" s="451"/>
      <c r="G238" s="451"/>
      <c r="H238" s="458"/>
      <c r="I238" s="458"/>
      <c r="J238" s="458"/>
      <c r="K238" s="458"/>
      <c r="L238" s="458"/>
      <c r="M238" s="458"/>
      <c r="N238" s="458"/>
      <c r="O238" s="458"/>
      <c r="P238" s="458"/>
      <c r="Q238" s="458"/>
      <c r="R238" s="454"/>
      <c r="S238" s="458"/>
      <c r="T238" s="643"/>
      <c r="U238" s="365"/>
      <c r="V238" s="366"/>
    </row>
    <row r="239" spans="1:22" x14ac:dyDescent="0.2">
      <c r="A239" s="486" t="s">
        <v>1143</v>
      </c>
      <c r="B239" s="572" t="s">
        <v>1144</v>
      </c>
      <c r="C239" s="442">
        <v>13500</v>
      </c>
      <c r="D239" s="443">
        <v>13500</v>
      </c>
      <c r="E239" s="446">
        <v>9820</v>
      </c>
      <c r="F239" s="489">
        <v>13000</v>
      </c>
      <c r="G239" s="443"/>
      <c r="H239" s="447">
        <v>800</v>
      </c>
      <c r="I239" s="447">
        <v>1670</v>
      </c>
      <c r="J239" s="447">
        <v>2470</v>
      </c>
      <c r="K239" s="447">
        <v>3310</v>
      </c>
      <c r="L239" s="447">
        <v>4170</v>
      </c>
      <c r="M239" s="447">
        <v>4990</v>
      </c>
      <c r="N239" s="447">
        <v>4990</v>
      </c>
      <c r="O239" s="447">
        <v>5790</v>
      </c>
      <c r="P239" s="447">
        <v>6630</v>
      </c>
      <c r="Q239" s="447">
        <v>7430</v>
      </c>
      <c r="R239" s="447">
        <v>8230</v>
      </c>
      <c r="S239" s="447"/>
      <c r="T239" s="641">
        <v>9870</v>
      </c>
    </row>
    <row r="240" spans="1:22" x14ac:dyDescent="0.2">
      <c r="A240" s="486" t="s">
        <v>253</v>
      </c>
      <c r="B240" s="572" t="s">
        <v>1145</v>
      </c>
      <c r="C240" s="442">
        <v>6000</v>
      </c>
      <c r="D240" s="443">
        <v>6000</v>
      </c>
      <c r="E240" s="446">
        <v>0</v>
      </c>
      <c r="F240" s="489">
        <v>4000</v>
      </c>
      <c r="G240" s="443"/>
      <c r="H240" s="447">
        <v>0</v>
      </c>
      <c r="I240" s="447">
        <v>120</v>
      </c>
      <c r="J240" s="447">
        <v>120</v>
      </c>
      <c r="K240" s="447">
        <v>120</v>
      </c>
      <c r="L240" s="447">
        <v>120</v>
      </c>
      <c r="M240" s="447">
        <v>120</v>
      </c>
      <c r="N240" s="447">
        <v>120</v>
      </c>
      <c r="O240" s="447">
        <v>120</v>
      </c>
      <c r="P240" s="447">
        <v>172.05</v>
      </c>
      <c r="Q240" s="447">
        <v>172.05</v>
      </c>
      <c r="R240" s="447">
        <v>172.05</v>
      </c>
      <c r="S240" s="447"/>
      <c r="T240" s="641">
        <v>172.05</v>
      </c>
    </row>
    <row r="241" spans="1:22" x14ac:dyDescent="0.2">
      <c r="A241" s="440" t="s">
        <v>1146</v>
      </c>
      <c r="B241" s="572" t="s">
        <v>1147</v>
      </c>
      <c r="C241" s="488">
        <v>12000</v>
      </c>
      <c r="D241" s="489">
        <v>15000</v>
      </c>
      <c r="E241" s="565">
        <v>16610</v>
      </c>
      <c r="F241" s="489">
        <v>15000</v>
      </c>
      <c r="G241" s="443"/>
      <c r="H241" s="447">
        <v>2736.25</v>
      </c>
      <c r="I241" s="447">
        <v>2736.25</v>
      </c>
      <c r="J241" s="447">
        <v>5376.25</v>
      </c>
      <c r="K241" s="447">
        <v>5376.25</v>
      </c>
      <c r="L241" s="447">
        <v>6256.25</v>
      </c>
      <c r="M241" s="447">
        <v>8456.25</v>
      </c>
      <c r="N241" s="447">
        <v>8456.25</v>
      </c>
      <c r="O241" s="447">
        <v>9336.25</v>
      </c>
      <c r="P241" s="447">
        <v>11013.75</v>
      </c>
      <c r="Q241" s="447">
        <v>11893.75</v>
      </c>
      <c r="R241" s="447">
        <v>13653.75</v>
      </c>
      <c r="S241" s="447"/>
      <c r="T241" s="640">
        <v>17613.75</v>
      </c>
    </row>
    <row r="242" spans="1:22" x14ac:dyDescent="0.2">
      <c r="A242" s="486" t="s">
        <v>281</v>
      </c>
      <c r="B242" s="572" t="s">
        <v>1148</v>
      </c>
      <c r="C242" s="488">
        <v>1500</v>
      </c>
      <c r="D242" s="489">
        <v>1500</v>
      </c>
      <c r="E242" s="562">
        <v>0</v>
      </c>
      <c r="F242" s="489">
        <v>1000</v>
      </c>
      <c r="G242" s="443"/>
      <c r="H242" s="447">
        <v>0</v>
      </c>
      <c r="I242" s="447">
        <v>0</v>
      </c>
      <c r="J242" s="447">
        <v>0</v>
      </c>
      <c r="K242" s="447">
        <v>0</v>
      </c>
      <c r="L242" s="447">
        <v>0</v>
      </c>
      <c r="M242" s="447">
        <v>0</v>
      </c>
      <c r="N242" s="447">
        <v>0</v>
      </c>
      <c r="O242" s="447">
        <v>0</v>
      </c>
      <c r="P242" s="447">
        <v>0</v>
      </c>
      <c r="Q242" s="447">
        <v>0</v>
      </c>
      <c r="R242" s="447">
        <v>0</v>
      </c>
      <c r="S242" s="447"/>
      <c r="T242" s="641">
        <v>0</v>
      </c>
    </row>
    <row r="243" spans="1:22" x14ac:dyDescent="0.2">
      <c r="A243" s="486" t="s">
        <v>303</v>
      </c>
      <c r="B243" s="572" t="s">
        <v>1149</v>
      </c>
      <c r="C243" s="488">
        <v>250</v>
      </c>
      <c r="D243" s="489">
        <v>250</v>
      </c>
      <c r="E243" s="562">
        <v>0</v>
      </c>
      <c r="F243" s="489">
        <v>250</v>
      </c>
      <c r="G243" s="443"/>
      <c r="H243" s="447">
        <v>0</v>
      </c>
      <c r="I243" s="447">
        <v>0</v>
      </c>
      <c r="J243" s="447">
        <v>0</v>
      </c>
      <c r="K243" s="447">
        <v>0</v>
      </c>
      <c r="L243" s="447">
        <v>0</v>
      </c>
      <c r="M243" s="447">
        <v>0</v>
      </c>
      <c r="N243" s="447">
        <v>0</v>
      </c>
      <c r="O243" s="447">
        <v>0</v>
      </c>
      <c r="P243" s="447">
        <v>0</v>
      </c>
      <c r="Q243" s="447">
        <v>0</v>
      </c>
      <c r="R243" s="447">
        <v>0</v>
      </c>
      <c r="S243" s="447"/>
      <c r="T243" s="641">
        <v>0</v>
      </c>
    </row>
    <row r="244" spans="1:22" x14ac:dyDescent="0.2">
      <c r="A244" s="440" t="s">
        <v>389</v>
      </c>
      <c r="B244" s="593" t="s">
        <v>1150</v>
      </c>
      <c r="C244" s="488">
        <v>2250</v>
      </c>
      <c r="D244" s="489">
        <v>2250</v>
      </c>
      <c r="E244" s="562">
        <v>0</v>
      </c>
      <c r="F244" s="489">
        <v>1500</v>
      </c>
      <c r="G244" s="443"/>
      <c r="H244" s="447">
        <v>0</v>
      </c>
      <c r="I244" s="447">
        <v>0</v>
      </c>
      <c r="J244" s="447">
        <v>0</v>
      </c>
      <c r="K244" s="447">
        <v>0</v>
      </c>
      <c r="L244" s="447">
        <v>0</v>
      </c>
      <c r="M244" s="447">
        <v>0</v>
      </c>
      <c r="N244" s="447">
        <v>0</v>
      </c>
      <c r="O244" s="447">
        <v>0</v>
      </c>
      <c r="P244" s="447">
        <v>0</v>
      </c>
      <c r="Q244" s="447">
        <v>0</v>
      </c>
      <c r="R244" s="447">
        <v>0</v>
      </c>
      <c r="S244" s="447"/>
      <c r="T244" s="641">
        <v>0</v>
      </c>
    </row>
    <row r="245" spans="1:22" x14ac:dyDescent="0.2">
      <c r="A245" s="440" t="s">
        <v>378</v>
      </c>
      <c r="B245" s="572" t="s">
        <v>1151</v>
      </c>
      <c r="C245" s="488">
        <v>1500</v>
      </c>
      <c r="D245" s="489">
        <v>1500</v>
      </c>
      <c r="E245" s="562">
        <v>0</v>
      </c>
      <c r="F245" s="489">
        <v>200</v>
      </c>
      <c r="G245" s="443"/>
      <c r="H245" s="447">
        <v>0</v>
      </c>
      <c r="I245" s="447">
        <v>0</v>
      </c>
      <c r="J245" s="447">
        <v>0</v>
      </c>
      <c r="K245" s="447">
        <v>0</v>
      </c>
      <c r="L245" s="447">
        <v>0</v>
      </c>
      <c r="M245" s="447">
        <v>0</v>
      </c>
      <c r="N245" s="447">
        <v>0</v>
      </c>
      <c r="O245" s="447">
        <v>0</v>
      </c>
      <c r="P245" s="447">
        <v>0</v>
      </c>
      <c r="Q245" s="447">
        <v>0</v>
      </c>
      <c r="R245" s="447">
        <v>0</v>
      </c>
      <c r="S245" s="447"/>
      <c r="T245" s="641">
        <v>0</v>
      </c>
    </row>
    <row r="246" spans="1:22" x14ac:dyDescent="0.2">
      <c r="A246" s="440" t="s">
        <v>1152</v>
      </c>
      <c r="B246" s="572" t="s">
        <v>1153</v>
      </c>
      <c r="C246" s="488">
        <v>1500</v>
      </c>
      <c r="D246" s="489">
        <v>1500</v>
      </c>
      <c r="E246" s="562">
        <v>209.76</v>
      </c>
      <c r="F246" s="489">
        <v>1500</v>
      </c>
      <c r="G246" s="443"/>
      <c r="H246" s="447">
        <v>0</v>
      </c>
      <c r="I246" s="447">
        <v>0</v>
      </c>
      <c r="J246" s="447">
        <v>0</v>
      </c>
      <c r="K246" s="447">
        <v>0</v>
      </c>
      <c r="L246" s="447">
        <v>0</v>
      </c>
      <c r="M246" s="447">
        <v>0</v>
      </c>
      <c r="N246" s="447">
        <v>0</v>
      </c>
      <c r="O246" s="447">
        <v>0</v>
      </c>
      <c r="P246" s="447">
        <v>0</v>
      </c>
      <c r="Q246" s="447">
        <v>0</v>
      </c>
      <c r="R246" s="447">
        <v>16.649999999999999</v>
      </c>
      <c r="S246" s="447"/>
      <c r="T246" s="641">
        <v>149.83000000000001</v>
      </c>
    </row>
    <row r="247" spans="1:22" x14ac:dyDescent="0.2">
      <c r="A247" s="440" t="s">
        <v>1154</v>
      </c>
      <c r="B247" s="572" t="s">
        <v>1155</v>
      </c>
      <c r="C247" s="488">
        <v>250</v>
      </c>
      <c r="D247" s="489">
        <v>250</v>
      </c>
      <c r="E247" s="562">
        <v>0</v>
      </c>
      <c r="F247" s="489">
        <v>250</v>
      </c>
      <c r="G247" s="443"/>
      <c r="H247" s="447">
        <v>0</v>
      </c>
      <c r="I247" s="447">
        <v>0</v>
      </c>
      <c r="J247" s="447">
        <v>0</v>
      </c>
      <c r="K247" s="447">
        <v>0</v>
      </c>
      <c r="L247" s="447">
        <v>0</v>
      </c>
      <c r="M247" s="447">
        <v>0</v>
      </c>
      <c r="N247" s="447">
        <v>0</v>
      </c>
      <c r="O247" s="447">
        <v>0</v>
      </c>
      <c r="P247" s="447">
        <v>0</v>
      </c>
      <c r="Q247" s="447">
        <v>0</v>
      </c>
      <c r="R247" s="447">
        <v>0</v>
      </c>
      <c r="S247" s="447"/>
      <c r="T247" s="641">
        <v>0</v>
      </c>
    </row>
    <row r="248" spans="1:22" s="367" customFormat="1" x14ac:dyDescent="0.2">
      <c r="A248" s="459" t="s">
        <v>1156</v>
      </c>
      <c r="B248" s="460" t="s">
        <v>1157</v>
      </c>
      <c r="C248" s="450"/>
      <c r="D248" s="451"/>
      <c r="E248" s="465"/>
      <c r="F248" s="451"/>
      <c r="G248" s="451"/>
      <c r="H248" s="457"/>
      <c r="I248" s="457"/>
      <c r="J248" s="457"/>
      <c r="K248" s="457"/>
      <c r="L248" s="457"/>
      <c r="M248" s="457"/>
      <c r="N248" s="457"/>
      <c r="O248" s="457"/>
      <c r="P248" s="457"/>
      <c r="Q248" s="457"/>
      <c r="R248" s="453"/>
      <c r="S248" s="457"/>
      <c r="T248" s="645"/>
      <c r="U248" s="365"/>
      <c r="V248" s="366"/>
    </row>
    <row r="249" spans="1:22" x14ac:dyDescent="0.2">
      <c r="A249" s="478" t="s">
        <v>474</v>
      </c>
      <c r="B249" s="586" t="s">
        <v>475</v>
      </c>
      <c r="C249" s="488">
        <v>50000</v>
      </c>
      <c r="D249" s="489">
        <v>55000</v>
      </c>
      <c r="E249" s="490">
        <v>51819.24</v>
      </c>
      <c r="F249" s="489">
        <v>60000</v>
      </c>
      <c r="G249" s="443"/>
      <c r="H249" s="445">
        <v>726</v>
      </c>
      <c r="I249" s="445">
        <v>726</v>
      </c>
      <c r="J249" s="445">
        <v>1996.5</v>
      </c>
      <c r="K249" s="445">
        <v>2136.75</v>
      </c>
      <c r="L249" s="445">
        <v>2499.75</v>
      </c>
      <c r="M249" s="445">
        <v>20385.75</v>
      </c>
      <c r="N249" s="445">
        <v>22943.25</v>
      </c>
      <c r="O249" s="445">
        <v>26990.04</v>
      </c>
      <c r="P249" s="445">
        <v>27155.040000000001</v>
      </c>
      <c r="Q249" s="445">
        <v>27320.04</v>
      </c>
      <c r="R249" s="445">
        <v>30034.29</v>
      </c>
      <c r="S249" s="445"/>
      <c r="T249" s="647">
        <v>44554.29</v>
      </c>
    </row>
    <row r="250" spans="1:22" x14ac:dyDescent="0.2">
      <c r="A250" s="478" t="s">
        <v>477</v>
      </c>
      <c r="B250" s="586" t="s">
        <v>1158</v>
      </c>
      <c r="C250" s="488">
        <v>45000</v>
      </c>
      <c r="D250" s="489">
        <v>50000</v>
      </c>
      <c r="E250" s="490">
        <v>40555</v>
      </c>
      <c r="F250" s="489">
        <v>50000</v>
      </c>
      <c r="G250" s="443"/>
      <c r="H250" s="445">
        <v>3930</v>
      </c>
      <c r="I250" s="445">
        <v>6287.5</v>
      </c>
      <c r="J250" s="445">
        <v>9110</v>
      </c>
      <c r="K250" s="445">
        <v>11240</v>
      </c>
      <c r="L250" s="445">
        <v>16400</v>
      </c>
      <c r="M250" s="445">
        <v>16880</v>
      </c>
      <c r="N250" s="445">
        <v>16880</v>
      </c>
      <c r="O250" s="445">
        <v>23890</v>
      </c>
      <c r="P250" s="445">
        <v>27080</v>
      </c>
      <c r="Q250" s="445">
        <v>32880</v>
      </c>
      <c r="R250" s="445">
        <v>35980</v>
      </c>
      <c r="S250" s="445"/>
      <c r="T250" s="647">
        <v>45570</v>
      </c>
    </row>
    <row r="251" spans="1:22" x14ac:dyDescent="0.2">
      <c r="A251" s="478" t="s">
        <v>480</v>
      </c>
      <c r="B251" s="586" t="s">
        <v>1159</v>
      </c>
      <c r="C251" s="488">
        <v>9500</v>
      </c>
      <c r="D251" s="489">
        <v>9500</v>
      </c>
      <c r="E251" s="490">
        <v>-561.76</v>
      </c>
      <c r="F251" s="489">
        <v>8000</v>
      </c>
      <c r="G251" s="443"/>
      <c r="H251" s="445">
        <v>0</v>
      </c>
      <c r="I251" s="445">
        <v>0</v>
      </c>
      <c r="J251" s="445">
        <v>0</v>
      </c>
      <c r="K251" s="445">
        <v>0</v>
      </c>
      <c r="L251" s="445">
        <v>0</v>
      </c>
      <c r="M251" s="445">
        <v>0</v>
      </c>
      <c r="N251" s="445">
        <v>0</v>
      </c>
      <c r="O251" s="445">
        <v>0</v>
      </c>
      <c r="P251" s="445">
        <v>0</v>
      </c>
      <c r="Q251" s="445">
        <v>0</v>
      </c>
      <c r="R251" s="445">
        <v>0</v>
      </c>
      <c r="S251" s="445"/>
      <c r="T251" s="647">
        <v>265.37</v>
      </c>
    </row>
    <row r="252" spans="1:22" x14ac:dyDescent="0.2">
      <c r="A252" s="478" t="s">
        <v>489</v>
      </c>
      <c r="B252" s="586" t="s">
        <v>1160</v>
      </c>
      <c r="C252" s="488">
        <v>500</v>
      </c>
      <c r="D252" s="489">
        <v>500</v>
      </c>
      <c r="E252" s="562">
        <v>0</v>
      </c>
      <c r="F252" s="489">
        <v>500</v>
      </c>
      <c r="G252" s="443"/>
      <c r="H252" s="445">
        <v>0</v>
      </c>
      <c r="I252" s="447">
        <v>0</v>
      </c>
      <c r="J252" s="447">
        <v>0</v>
      </c>
      <c r="K252" s="447">
        <v>0</v>
      </c>
      <c r="L252" s="447">
        <v>0</v>
      </c>
      <c r="M252" s="447">
        <v>0</v>
      </c>
      <c r="N252" s="447">
        <v>0</v>
      </c>
      <c r="O252" s="447">
        <v>0</v>
      </c>
      <c r="P252" s="447">
        <v>0</v>
      </c>
      <c r="Q252" s="447">
        <v>0</v>
      </c>
      <c r="R252" s="447">
        <v>0</v>
      </c>
      <c r="S252" s="447"/>
      <c r="T252" s="641">
        <v>0</v>
      </c>
      <c r="U252" s="485"/>
    </row>
    <row r="253" spans="1:22" s="480" customFormat="1" x14ac:dyDescent="0.2">
      <c r="A253" s="459" t="s">
        <v>498</v>
      </c>
      <c r="B253" s="585" t="s">
        <v>1015</v>
      </c>
      <c r="C253" s="488">
        <v>100000</v>
      </c>
      <c r="D253" s="489">
        <v>100000</v>
      </c>
      <c r="E253" s="562">
        <v>100000</v>
      </c>
      <c r="F253" s="489">
        <v>100000</v>
      </c>
      <c r="G253" s="451"/>
      <c r="H253" s="454">
        <v>0</v>
      </c>
      <c r="I253" s="454">
        <v>18000</v>
      </c>
      <c r="J253" s="454">
        <v>18000</v>
      </c>
      <c r="K253" s="454">
        <v>18000</v>
      </c>
      <c r="L253" s="454">
        <v>18000</v>
      </c>
      <c r="M253" s="454">
        <v>18000</v>
      </c>
      <c r="N253" s="454">
        <v>18000</v>
      </c>
      <c r="O253" s="454">
        <v>59000</v>
      </c>
      <c r="P253" s="454">
        <v>59000</v>
      </c>
      <c r="Q253" s="454">
        <v>59000</v>
      </c>
      <c r="R253" s="454">
        <v>83600</v>
      </c>
      <c r="S253" s="454"/>
      <c r="T253" s="642">
        <v>100000</v>
      </c>
      <c r="U253" s="479"/>
      <c r="V253" s="366"/>
    </row>
    <row r="254" spans="1:22" x14ac:dyDescent="0.2">
      <c r="A254" s="483"/>
      <c r="B254" s="434" t="s">
        <v>1161</v>
      </c>
      <c r="C254" s="436">
        <f t="shared" ref="C254:S254" si="10">SUM(C181:C253)</f>
        <v>506175</v>
      </c>
      <c r="D254" s="437">
        <f t="shared" si="10"/>
        <v>559175</v>
      </c>
      <c r="E254" s="463">
        <f t="shared" si="10"/>
        <v>409821.26</v>
      </c>
      <c r="F254" s="437">
        <f>SUM(F181:F253)</f>
        <v>491389.02</v>
      </c>
      <c r="G254" s="437">
        <f t="shared" si="10"/>
        <v>0</v>
      </c>
      <c r="H254" s="484">
        <f t="shared" si="10"/>
        <v>16340.09</v>
      </c>
      <c r="I254" s="484">
        <f t="shared" si="10"/>
        <v>45977.279999999999</v>
      </c>
      <c r="J254" s="484">
        <f t="shared" si="10"/>
        <v>59798.130000000005</v>
      </c>
      <c r="K254" s="484">
        <f t="shared" si="10"/>
        <v>69026.679999999993</v>
      </c>
      <c r="L254" s="484">
        <f t="shared" si="10"/>
        <v>87921.87</v>
      </c>
      <c r="M254" s="484">
        <f t="shared" si="10"/>
        <v>139060.88999999998</v>
      </c>
      <c r="N254" s="484">
        <f t="shared" si="10"/>
        <v>145083.03999999998</v>
      </c>
      <c r="O254" s="484">
        <f t="shared" si="10"/>
        <v>207273.22999999998</v>
      </c>
      <c r="P254" s="484">
        <f t="shared" si="10"/>
        <v>227646.81999999998</v>
      </c>
      <c r="Q254" s="484">
        <f t="shared" si="10"/>
        <v>240381.37</v>
      </c>
      <c r="R254" s="484">
        <f t="shared" si="10"/>
        <v>287246.96000000002</v>
      </c>
      <c r="S254" s="484">
        <f t="shared" si="10"/>
        <v>0</v>
      </c>
      <c r="T254" s="649">
        <f t="shared" ref="T254" si="11">SUM(T181:T253)</f>
        <v>386290.48</v>
      </c>
    </row>
    <row r="255" spans="1:22" x14ac:dyDescent="0.2">
      <c r="A255" s="440" t="s">
        <v>504</v>
      </c>
      <c r="B255" s="487" t="s">
        <v>1162</v>
      </c>
      <c r="C255" s="488">
        <v>25000</v>
      </c>
      <c r="D255" s="489">
        <v>25000</v>
      </c>
      <c r="E255" s="490">
        <v>6449.8</v>
      </c>
      <c r="F255" s="489">
        <v>10000</v>
      </c>
      <c r="G255" s="443"/>
      <c r="H255" s="445">
        <v>0</v>
      </c>
      <c r="I255" s="445">
        <v>0</v>
      </c>
      <c r="J255" s="445">
        <v>0</v>
      </c>
      <c r="K255" s="445">
        <v>0</v>
      </c>
      <c r="L255" s="445">
        <v>0</v>
      </c>
      <c r="M255" s="445">
        <v>0</v>
      </c>
      <c r="N255" s="445">
        <v>0</v>
      </c>
      <c r="O255" s="445">
        <v>950</v>
      </c>
      <c r="P255" s="445">
        <v>950</v>
      </c>
      <c r="Q255" s="445">
        <v>950</v>
      </c>
      <c r="R255" s="445">
        <v>950</v>
      </c>
      <c r="S255" s="445"/>
      <c r="T255" s="647">
        <v>950</v>
      </c>
    </row>
    <row r="256" spans="1:22" x14ac:dyDescent="0.2">
      <c r="A256" s="440" t="s">
        <v>509</v>
      </c>
      <c r="B256" s="487" t="s">
        <v>1163</v>
      </c>
      <c r="C256" s="488">
        <v>1500</v>
      </c>
      <c r="D256" s="489">
        <v>1500</v>
      </c>
      <c r="E256" s="490">
        <v>0</v>
      </c>
      <c r="F256" s="489">
        <v>1500</v>
      </c>
      <c r="G256" s="443"/>
      <c r="H256" s="445">
        <v>0</v>
      </c>
      <c r="I256" s="445">
        <v>0</v>
      </c>
      <c r="J256" s="445">
        <v>0</v>
      </c>
      <c r="K256" s="445">
        <v>0</v>
      </c>
      <c r="L256" s="445">
        <v>0</v>
      </c>
      <c r="M256" s="445">
        <v>0</v>
      </c>
      <c r="N256" s="445">
        <v>0</v>
      </c>
      <c r="O256" s="445">
        <v>0</v>
      </c>
      <c r="P256" s="445">
        <v>0</v>
      </c>
      <c r="Q256" s="445">
        <v>0</v>
      </c>
      <c r="R256" s="445">
        <v>0</v>
      </c>
      <c r="S256" s="445">
        <v>0</v>
      </c>
      <c r="T256" s="647">
        <v>0</v>
      </c>
    </row>
    <row r="257" spans="1:22" x14ac:dyDescent="0.2">
      <c r="A257" s="483"/>
      <c r="B257" s="434" t="s">
        <v>1164</v>
      </c>
      <c r="C257" s="436">
        <f t="shared" ref="C257:T257" si="12">SUM(C255:C256)</f>
        <v>26500</v>
      </c>
      <c r="D257" s="437">
        <f t="shared" si="12"/>
        <v>26500</v>
      </c>
      <c r="E257" s="463">
        <f t="shared" si="12"/>
        <v>6449.8</v>
      </c>
      <c r="F257" s="437">
        <f t="shared" si="12"/>
        <v>11500</v>
      </c>
      <c r="G257" s="437">
        <f t="shared" si="12"/>
        <v>0</v>
      </c>
      <c r="H257" s="484">
        <f t="shared" si="12"/>
        <v>0</v>
      </c>
      <c r="I257" s="484">
        <f t="shared" si="12"/>
        <v>0</v>
      </c>
      <c r="J257" s="484">
        <f t="shared" si="12"/>
        <v>0</v>
      </c>
      <c r="K257" s="484">
        <f t="shared" si="12"/>
        <v>0</v>
      </c>
      <c r="L257" s="484">
        <f t="shared" si="12"/>
        <v>0</v>
      </c>
      <c r="M257" s="484">
        <f t="shared" si="12"/>
        <v>0</v>
      </c>
      <c r="N257" s="484">
        <f t="shared" si="12"/>
        <v>0</v>
      </c>
      <c r="O257" s="484">
        <f t="shared" si="12"/>
        <v>950</v>
      </c>
      <c r="P257" s="484">
        <f t="shared" si="12"/>
        <v>950</v>
      </c>
      <c r="Q257" s="484">
        <f t="shared" si="12"/>
        <v>950</v>
      </c>
      <c r="R257" s="484">
        <f t="shared" si="12"/>
        <v>950</v>
      </c>
      <c r="S257" s="484">
        <f t="shared" si="12"/>
        <v>0</v>
      </c>
      <c r="T257" s="649">
        <f t="shared" si="12"/>
        <v>950</v>
      </c>
    </row>
    <row r="258" spans="1:22" x14ac:dyDescent="0.2">
      <c r="A258" s="440" t="s">
        <v>516</v>
      </c>
      <c r="B258" s="487" t="s">
        <v>1165</v>
      </c>
      <c r="C258" s="488">
        <v>0</v>
      </c>
      <c r="D258" s="489">
        <v>0</v>
      </c>
      <c r="E258" s="490">
        <v>0</v>
      </c>
      <c r="F258" s="489">
        <v>0</v>
      </c>
      <c r="G258" s="443"/>
      <c r="H258" s="445">
        <v>0</v>
      </c>
      <c r="I258" s="445">
        <v>0</v>
      </c>
      <c r="J258" s="445">
        <v>0</v>
      </c>
      <c r="K258" s="445">
        <v>0</v>
      </c>
      <c r="L258" s="445">
        <v>0</v>
      </c>
      <c r="M258" s="445">
        <v>0</v>
      </c>
      <c r="N258" s="445">
        <v>0</v>
      </c>
      <c r="O258" s="445">
        <v>0</v>
      </c>
      <c r="P258" s="445">
        <v>0</v>
      </c>
      <c r="Q258" s="445">
        <v>0</v>
      </c>
      <c r="R258" s="445">
        <v>0</v>
      </c>
      <c r="S258" s="445">
        <v>0</v>
      </c>
      <c r="T258" s="647">
        <v>0</v>
      </c>
    </row>
    <row r="259" spans="1:22" x14ac:dyDescent="0.2">
      <c r="A259" s="440" t="s">
        <v>518</v>
      </c>
      <c r="B259" s="487" t="s">
        <v>1166</v>
      </c>
      <c r="C259" s="488">
        <v>0</v>
      </c>
      <c r="D259" s="489">
        <v>0</v>
      </c>
      <c r="E259" s="490">
        <v>0</v>
      </c>
      <c r="F259" s="489">
        <v>60000</v>
      </c>
      <c r="G259" s="443"/>
      <c r="H259" s="445">
        <v>0</v>
      </c>
      <c r="I259" s="445">
        <v>0</v>
      </c>
      <c r="J259" s="445">
        <v>0</v>
      </c>
      <c r="K259" s="445">
        <v>0</v>
      </c>
      <c r="L259" s="445">
        <v>0</v>
      </c>
      <c r="M259" s="445">
        <v>0</v>
      </c>
      <c r="N259" s="445">
        <v>0</v>
      </c>
      <c r="O259" s="445">
        <v>0</v>
      </c>
      <c r="P259" s="445">
        <v>0</v>
      </c>
      <c r="Q259" s="445">
        <v>0</v>
      </c>
      <c r="R259" s="445">
        <v>0</v>
      </c>
      <c r="S259" s="445">
        <v>0</v>
      </c>
      <c r="T259" s="647">
        <v>60000</v>
      </c>
    </row>
    <row r="260" spans="1:22" x14ac:dyDescent="0.2">
      <c r="A260" s="481" t="s">
        <v>520</v>
      </c>
      <c r="B260" s="595" t="s">
        <v>1167</v>
      </c>
      <c r="C260" s="488">
        <v>5000</v>
      </c>
      <c r="D260" s="489">
        <v>5000</v>
      </c>
      <c r="E260" s="490">
        <v>5000</v>
      </c>
      <c r="F260" s="489">
        <v>0</v>
      </c>
      <c r="G260" s="443"/>
      <c r="H260" s="482">
        <v>0</v>
      </c>
      <c r="I260" s="482">
        <v>0</v>
      </c>
      <c r="J260" s="482">
        <v>0</v>
      </c>
      <c r="K260" s="482">
        <v>0</v>
      </c>
      <c r="L260" s="482">
        <v>0</v>
      </c>
      <c r="M260" s="482">
        <v>0</v>
      </c>
      <c r="N260" s="482">
        <v>0</v>
      </c>
      <c r="O260" s="482"/>
      <c r="P260" s="482"/>
      <c r="Q260" s="482"/>
      <c r="R260" s="482">
        <v>0</v>
      </c>
      <c r="S260" s="482">
        <v>0</v>
      </c>
      <c r="T260" s="648">
        <v>0</v>
      </c>
    </row>
    <row r="261" spans="1:22" x14ac:dyDescent="0.2">
      <c r="A261" s="483"/>
      <c r="B261" s="434" t="s">
        <v>1168</v>
      </c>
      <c r="C261" s="436">
        <f t="shared" ref="C261:N261" si="13">SUM(C258:C260)</f>
        <v>5000</v>
      </c>
      <c r="D261" s="437">
        <f t="shared" si="13"/>
        <v>5000</v>
      </c>
      <c r="E261" s="438">
        <f t="shared" si="13"/>
        <v>5000</v>
      </c>
      <c r="F261" s="437">
        <f t="shared" si="13"/>
        <v>60000</v>
      </c>
      <c r="G261" s="437">
        <f t="shared" si="13"/>
        <v>0</v>
      </c>
      <c r="H261" s="439">
        <f t="shared" si="13"/>
        <v>0</v>
      </c>
      <c r="I261" s="439">
        <f t="shared" si="13"/>
        <v>0</v>
      </c>
      <c r="J261" s="439">
        <f t="shared" si="13"/>
        <v>0</v>
      </c>
      <c r="K261" s="439">
        <f t="shared" si="13"/>
        <v>0</v>
      </c>
      <c r="L261" s="439">
        <f t="shared" si="13"/>
        <v>0</v>
      </c>
      <c r="M261" s="439">
        <f t="shared" si="13"/>
        <v>0</v>
      </c>
      <c r="N261" s="439">
        <f t="shared" si="13"/>
        <v>0</v>
      </c>
      <c r="O261" s="439">
        <f t="shared" ref="O261:Q261" si="14">SUM(O258:O259)</f>
        <v>0</v>
      </c>
      <c r="P261" s="439">
        <f t="shared" si="14"/>
        <v>0</v>
      </c>
      <c r="Q261" s="439">
        <f t="shared" si="14"/>
        <v>0</v>
      </c>
      <c r="R261" s="439">
        <f>SUM(R258:R260)</f>
        <v>0</v>
      </c>
      <c r="S261" s="439">
        <f>SUM(S258:S260)</f>
        <v>0</v>
      </c>
      <c r="T261" s="639">
        <f t="shared" ref="T261" si="15">SUM(T258:T259)</f>
        <v>60000</v>
      </c>
    </row>
    <row r="262" spans="1:22" x14ac:dyDescent="0.2">
      <c r="A262" s="486"/>
      <c r="B262" s="487"/>
      <c r="C262" s="488"/>
      <c r="D262" s="489"/>
      <c r="E262" s="490"/>
      <c r="F262" s="489"/>
      <c r="G262" s="489"/>
      <c r="H262" s="491"/>
      <c r="I262" s="491"/>
      <c r="J262" s="491"/>
      <c r="K262" s="491"/>
      <c r="L262" s="491"/>
      <c r="M262" s="491"/>
      <c r="N262" s="491"/>
      <c r="O262" s="491"/>
      <c r="P262" s="491"/>
      <c r="Q262" s="491"/>
      <c r="R262" s="491"/>
      <c r="S262" s="491"/>
      <c r="T262" s="650"/>
    </row>
    <row r="263" spans="1:22" x14ac:dyDescent="0.2">
      <c r="A263" s="483"/>
      <c r="B263" s="434" t="s">
        <v>1169</v>
      </c>
      <c r="C263" s="492">
        <f t="shared" ref="C263:T263" si="16">C55+C180+C254+C257+C261</f>
        <v>1749757.63</v>
      </c>
      <c r="D263" s="493">
        <f t="shared" si="16"/>
        <v>1769757.63</v>
      </c>
      <c r="E263" s="494">
        <f t="shared" si="16"/>
        <v>1395258.13</v>
      </c>
      <c r="F263" s="493">
        <f>F55+F180+F254+F257+F261</f>
        <v>1479844.02</v>
      </c>
      <c r="G263" s="493">
        <f t="shared" si="16"/>
        <v>0</v>
      </c>
      <c r="H263" s="484">
        <f t="shared" si="16"/>
        <v>79380.58</v>
      </c>
      <c r="I263" s="484">
        <f t="shared" si="16"/>
        <v>157225.41999999998</v>
      </c>
      <c r="J263" s="484">
        <f t="shared" si="16"/>
        <v>268031.52</v>
      </c>
      <c r="K263" s="484">
        <f t="shared" si="16"/>
        <v>342017.21</v>
      </c>
      <c r="L263" s="484">
        <f t="shared" si="16"/>
        <v>391356.77</v>
      </c>
      <c r="M263" s="484">
        <f t="shared" si="16"/>
        <v>468607.18000000005</v>
      </c>
      <c r="N263" s="484">
        <f t="shared" si="16"/>
        <v>484277.25000000006</v>
      </c>
      <c r="O263" s="495">
        <f t="shared" si="16"/>
        <v>582426.91</v>
      </c>
      <c r="P263" s="496">
        <f t="shared" si="16"/>
        <v>721845.62</v>
      </c>
      <c r="Q263" s="496">
        <f t="shared" si="16"/>
        <v>767911.67</v>
      </c>
      <c r="R263" s="496">
        <f t="shared" si="16"/>
        <v>917245.78</v>
      </c>
      <c r="S263" s="496">
        <f t="shared" si="16"/>
        <v>0</v>
      </c>
      <c r="T263" s="651">
        <f t="shared" si="16"/>
        <v>1215421.75</v>
      </c>
    </row>
    <row r="264" spans="1:22" x14ac:dyDescent="0.2">
      <c r="A264" s="379"/>
      <c r="B264" s="497" t="s">
        <v>813</v>
      </c>
      <c r="C264" s="498">
        <f t="shared" ref="C264:T264" si="17">C30</f>
        <v>2093000</v>
      </c>
      <c r="D264" s="499">
        <f t="shared" si="17"/>
        <v>2054000</v>
      </c>
      <c r="E264" s="500">
        <f t="shared" si="17"/>
        <v>2020618.47</v>
      </c>
      <c r="F264" s="499">
        <f t="shared" si="17"/>
        <v>1480000</v>
      </c>
      <c r="G264" s="499">
        <f t="shared" si="17"/>
        <v>0</v>
      </c>
      <c r="H264" s="501">
        <f t="shared" si="17"/>
        <v>629480.31999999995</v>
      </c>
      <c r="I264" s="501">
        <f t="shared" si="17"/>
        <v>636619.49</v>
      </c>
      <c r="J264" s="501">
        <f t="shared" si="17"/>
        <v>645850.54999999993</v>
      </c>
      <c r="K264" s="426">
        <f t="shared" si="17"/>
        <v>668576.54999999993</v>
      </c>
      <c r="L264" s="426">
        <f t="shared" si="17"/>
        <v>682840.79999999993</v>
      </c>
      <c r="M264" s="501">
        <f t="shared" si="17"/>
        <v>705619.79999999993</v>
      </c>
      <c r="N264" s="501">
        <f t="shared" si="17"/>
        <v>705919.6</v>
      </c>
      <c r="O264" s="501">
        <f t="shared" si="17"/>
        <v>961707.15</v>
      </c>
      <c r="P264" s="502">
        <f t="shared" si="17"/>
        <v>1180910.25</v>
      </c>
      <c r="Q264" s="502">
        <f t="shared" si="17"/>
        <v>1233145.43</v>
      </c>
      <c r="R264" s="502">
        <f t="shared" si="17"/>
        <v>1254708.3899999999</v>
      </c>
      <c r="S264" s="502">
        <f t="shared" si="17"/>
        <v>0</v>
      </c>
      <c r="T264" s="652">
        <f t="shared" si="17"/>
        <v>1500919.53</v>
      </c>
    </row>
    <row r="265" spans="1:22" x14ac:dyDescent="0.2">
      <c r="A265" s="486"/>
      <c r="B265" s="487"/>
      <c r="C265" s="488"/>
      <c r="D265" s="489"/>
      <c r="E265" s="490"/>
      <c r="F265" s="489"/>
      <c r="G265" s="489"/>
      <c r="H265" s="491"/>
      <c r="I265" s="491"/>
      <c r="J265" s="491"/>
      <c r="K265" s="491"/>
      <c r="L265" s="491"/>
      <c r="M265" s="491"/>
      <c r="N265" s="491"/>
      <c r="O265" s="491"/>
      <c r="P265" s="491"/>
      <c r="Q265" s="491"/>
      <c r="R265" s="491"/>
      <c r="S265" s="491"/>
      <c r="T265" s="650"/>
    </row>
    <row r="266" spans="1:22" s="510" customFormat="1" x14ac:dyDescent="0.2">
      <c r="A266" s="503"/>
      <c r="B266" s="504" t="s">
        <v>1170</v>
      </c>
      <c r="C266" s="505">
        <f t="shared" ref="C266:T266" si="18">C264-C263</f>
        <v>343242.37000000011</v>
      </c>
      <c r="D266" s="506">
        <f t="shared" si="18"/>
        <v>284242.37000000011</v>
      </c>
      <c r="E266" s="507">
        <f t="shared" si="18"/>
        <v>625360.34000000008</v>
      </c>
      <c r="F266" s="506">
        <f t="shared" si="18"/>
        <v>155.97999999998137</v>
      </c>
      <c r="G266" s="506">
        <f t="shared" si="18"/>
        <v>0</v>
      </c>
      <c r="H266" s="508">
        <f t="shared" si="18"/>
        <v>550099.74</v>
      </c>
      <c r="I266" s="508">
        <f t="shared" si="18"/>
        <v>479394.07</v>
      </c>
      <c r="J266" s="509">
        <f t="shared" si="18"/>
        <v>377819.02999999991</v>
      </c>
      <c r="K266" s="509">
        <f t="shared" si="18"/>
        <v>326559.33999999991</v>
      </c>
      <c r="L266" s="509">
        <f t="shared" si="18"/>
        <v>291484.02999999991</v>
      </c>
      <c r="M266" s="509">
        <f t="shared" si="18"/>
        <v>237012.61999999988</v>
      </c>
      <c r="N266" s="509">
        <f t="shared" si="18"/>
        <v>221642.34999999992</v>
      </c>
      <c r="O266" s="509">
        <f t="shared" si="18"/>
        <v>379280.24</v>
      </c>
      <c r="P266" s="509">
        <f t="shared" si="18"/>
        <v>459064.63</v>
      </c>
      <c r="Q266" s="509">
        <f t="shared" si="18"/>
        <v>465233.75999999989</v>
      </c>
      <c r="R266" s="509">
        <f t="shared" si="18"/>
        <v>337462.60999999987</v>
      </c>
      <c r="S266" s="509">
        <f t="shared" si="18"/>
        <v>0</v>
      </c>
      <c r="T266" s="653">
        <f t="shared" si="18"/>
        <v>285497.78000000003</v>
      </c>
      <c r="U266" s="342">
        <v>200000</v>
      </c>
      <c r="V266" s="366"/>
    </row>
    <row r="267" spans="1:22" x14ac:dyDescent="0.2">
      <c r="C267" s="511"/>
      <c r="D267" s="512"/>
      <c r="E267" s="513"/>
      <c r="F267" s="512"/>
      <c r="G267" s="512"/>
      <c r="H267" s="514"/>
      <c r="I267" s="514"/>
      <c r="J267" s="514"/>
      <c r="K267" s="514"/>
      <c r="L267" s="514"/>
      <c r="M267" s="514"/>
      <c r="N267" s="514"/>
      <c r="O267" s="514"/>
      <c r="P267" s="514"/>
      <c r="Q267" s="514"/>
      <c r="R267" s="514"/>
      <c r="S267" s="514"/>
      <c r="T267" s="514"/>
      <c r="V267" s="515"/>
    </row>
    <row r="268" spans="1:22" x14ac:dyDescent="0.2">
      <c r="C268" s="516" t="s">
        <v>1171</v>
      </c>
      <c r="D268" s="517" t="s">
        <v>1171</v>
      </c>
      <c r="F268" s="517" t="s">
        <v>1172</v>
      </c>
      <c r="G268" s="517" t="s">
        <v>1172</v>
      </c>
      <c r="V268" s="515"/>
    </row>
    <row r="269" spans="1:22" x14ac:dyDescent="0.2">
      <c r="B269" s="519" t="s">
        <v>524</v>
      </c>
      <c r="C269" s="511"/>
      <c r="D269" s="512"/>
      <c r="E269" s="513"/>
      <c r="F269" s="512"/>
      <c r="G269" s="512"/>
      <c r="H269" s="514"/>
      <c r="I269" s="514"/>
      <c r="J269" s="514"/>
      <c r="K269" s="514"/>
      <c r="L269" s="514"/>
      <c r="M269" s="514"/>
      <c r="N269" s="514"/>
      <c r="O269" s="514"/>
      <c r="P269" s="514"/>
      <c r="Q269" s="514"/>
      <c r="R269" s="514"/>
      <c r="S269" s="514"/>
      <c r="T269" s="514"/>
    </row>
    <row r="270" spans="1:22" x14ac:dyDescent="0.2">
      <c r="B270" s="520" t="s">
        <v>526</v>
      </c>
      <c r="C270" s="521">
        <f>C281</f>
        <v>658242.37000000011</v>
      </c>
      <c r="D270" s="522">
        <f>D281</f>
        <v>599242.37000000011</v>
      </c>
      <c r="E270" s="523">
        <v>940360.34</v>
      </c>
      <c r="F270" s="522">
        <f>F281</f>
        <v>180155.97999999998</v>
      </c>
      <c r="G270" s="522"/>
      <c r="H270" s="524">
        <v>865099.74</v>
      </c>
      <c r="I270" s="524">
        <v>794394.07</v>
      </c>
      <c r="J270" s="524">
        <v>692819.03</v>
      </c>
      <c r="K270" s="525">
        <v>641559.34</v>
      </c>
      <c r="L270" s="525">
        <v>606484.03</v>
      </c>
      <c r="M270" s="525">
        <v>552012.62</v>
      </c>
      <c r="N270" s="525">
        <v>536642.35</v>
      </c>
      <c r="O270" s="526">
        <v>694280.24</v>
      </c>
      <c r="P270" s="526">
        <v>774064.63</v>
      </c>
      <c r="Q270" s="526">
        <v>780233.76</v>
      </c>
      <c r="R270" s="526">
        <v>652462.61</v>
      </c>
      <c r="S270" s="526"/>
      <c r="T270" s="526"/>
    </row>
    <row r="271" spans="1:22" x14ac:dyDescent="0.2">
      <c r="B271" s="520" t="s">
        <v>527</v>
      </c>
      <c r="C271" s="521">
        <v>0</v>
      </c>
      <c r="D271" s="522">
        <v>0</v>
      </c>
      <c r="E271" s="523"/>
      <c r="F271" s="522">
        <v>0</v>
      </c>
      <c r="G271" s="522">
        <v>0</v>
      </c>
      <c r="H271" s="525">
        <v>0</v>
      </c>
      <c r="I271" s="525">
        <v>0</v>
      </c>
      <c r="J271" s="525">
        <v>0</v>
      </c>
      <c r="K271" s="525">
        <v>0</v>
      </c>
      <c r="L271" s="525">
        <v>0</v>
      </c>
      <c r="M271" s="525">
        <v>0</v>
      </c>
      <c r="N271" s="525">
        <v>0</v>
      </c>
      <c r="O271" s="526">
        <v>0</v>
      </c>
      <c r="P271" s="526">
        <v>0</v>
      </c>
      <c r="Q271" s="526">
        <v>0</v>
      </c>
      <c r="R271" s="526">
        <v>0</v>
      </c>
      <c r="S271" s="526"/>
      <c r="T271" s="526"/>
    </row>
    <row r="272" spans="1:22" x14ac:dyDescent="0.2">
      <c r="B272" s="520" t="s">
        <v>528</v>
      </c>
      <c r="C272" s="521">
        <v>0</v>
      </c>
      <c r="D272" s="522">
        <v>0</v>
      </c>
      <c r="E272" s="523"/>
      <c r="F272" s="522">
        <v>0</v>
      </c>
      <c r="G272" s="522">
        <v>0</v>
      </c>
      <c r="H272" s="525">
        <v>0</v>
      </c>
      <c r="I272" s="525">
        <v>0</v>
      </c>
      <c r="J272" s="525">
        <v>0</v>
      </c>
      <c r="K272" s="525">
        <v>0</v>
      </c>
      <c r="L272" s="525">
        <v>0</v>
      </c>
      <c r="M272" s="525">
        <v>0</v>
      </c>
      <c r="N272" s="525">
        <v>0</v>
      </c>
      <c r="O272" s="526">
        <v>0</v>
      </c>
      <c r="P272" s="526">
        <v>0</v>
      </c>
      <c r="Q272" s="526">
        <v>0</v>
      </c>
      <c r="R272" s="526">
        <v>0</v>
      </c>
      <c r="S272" s="526">
        <v>0</v>
      </c>
      <c r="T272" s="526"/>
    </row>
    <row r="273" spans="2:22" x14ac:dyDescent="0.2">
      <c r="B273" s="527"/>
      <c r="C273" s="521"/>
      <c r="D273" s="522"/>
      <c r="E273" s="523">
        <v>0</v>
      </c>
      <c r="F273" s="522"/>
      <c r="G273" s="522"/>
      <c r="H273" s="525"/>
      <c r="I273" s="525"/>
      <c r="J273" s="525"/>
      <c r="K273" s="525"/>
      <c r="L273" s="525"/>
      <c r="M273" s="525"/>
      <c r="N273" s="525"/>
      <c r="O273" s="528"/>
      <c r="P273" s="526"/>
      <c r="Q273" s="526"/>
      <c r="R273" s="526"/>
      <c r="S273" s="526"/>
      <c r="T273" s="526">
        <v>0</v>
      </c>
    </row>
    <row r="274" spans="2:22" x14ac:dyDescent="0.2">
      <c r="B274" s="519" t="s">
        <v>529</v>
      </c>
      <c r="C274" s="529">
        <f>SUM(C270:C273)</f>
        <v>658242.37000000011</v>
      </c>
      <c r="D274" s="530">
        <f>SUM(D270:D273)</f>
        <v>599242.37000000011</v>
      </c>
      <c r="E274" s="531">
        <f t="shared" ref="E274" si="19">SUM(E270:E273)</f>
        <v>940360.34</v>
      </c>
      <c r="F274" s="530">
        <f>SUM(F270:F273)</f>
        <v>180155.97999999998</v>
      </c>
      <c r="G274" s="530">
        <f>SUM(G270:G273)</f>
        <v>0</v>
      </c>
      <c r="H274" s="532">
        <f t="shared" ref="H274:N274" si="20">SUM(H270:H272)</f>
        <v>865099.74</v>
      </c>
      <c r="I274" s="532">
        <f t="shared" si="20"/>
        <v>794394.07</v>
      </c>
      <c r="J274" s="532">
        <f t="shared" si="20"/>
        <v>692819.03</v>
      </c>
      <c r="K274" s="532">
        <f t="shared" si="20"/>
        <v>641559.34</v>
      </c>
      <c r="L274" s="533">
        <f t="shared" si="20"/>
        <v>606484.03</v>
      </c>
      <c r="M274" s="533">
        <f t="shared" si="20"/>
        <v>552012.62</v>
      </c>
      <c r="N274" s="533">
        <f t="shared" si="20"/>
        <v>536642.35</v>
      </c>
      <c r="O274" s="533">
        <f t="shared" ref="O274:T274" si="21">SUM(O270:O273)</f>
        <v>694280.24</v>
      </c>
      <c r="P274" s="533">
        <f t="shared" si="21"/>
        <v>774064.63</v>
      </c>
      <c r="Q274" s="533">
        <f t="shared" si="21"/>
        <v>780233.76</v>
      </c>
      <c r="R274" s="533">
        <f t="shared" si="21"/>
        <v>652462.61</v>
      </c>
      <c r="S274" s="533">
        <f t="shared" si="21"/>
        <v>0</v>
      </c>
      <c r="T274" s="533">
        <f t="shared" si="21"/>
        <v>0</v>
      </c>
    </row>
    <row r="275" spans="2:22" x14ac:dyDescent="0.2">
      <c r="C275" s="534"/>
      <c r="D275" s="528"/>
      <c r="E275" s="523"/>
      <c r="F275" s="528"/>
      <c r="G275" s="528"/>
      <c r="H275" s="525"/>
      <c r="I275" s="525"/>
      <c r="J275" s="525"/>
      <c r="K275" s="525"/>
      <c r="L275" s="525"/>
      <c r="M275" s="525"/>
      <c r="N275" s="525"/>
      <c r="O275" s="526"/>
      <c r="P275" s="526"/>
      <c r="Q275" s="526"/>
      <c r="R275" s="526"/>
      <c r="S275" s="526"/>
      <c r="T275" s="526"/>
    </row>
    <row r="276" spans="2:22" x14ac:dyDescent="0.2">
      <c r="B276" s="519" t="s">
        <v>530</v>
      </c>
      <c r="C276" s="534"/>
      <c r="D276" s="528"/>
      <c r="E276" s="523"/>
      <c r="F276" s="528"/>
      <c r="G276" s="528"/>
      <c r="H276" s="535"/>
      <c r="I276" s="535"/>
      <c r="J276" s="535"/>
      <c r="K276" s="535"/>
      <c r="L276" s="535"/>
      <c r="M276" s="535"/>
      <c r="N276" s="535"/>
      <c r="O276" s="526"/>
      <c r="P276" s="526"/>
      <c r="Q276" s="526"/>
      <c r="R276" s="526"/>
      <c r="S276" s="526"/>
      <c r="T276" s="526"/>
    </row>
    <row r="277" spans="2:22" x14ac:dyDescent="0.2">
      <c r="B277" s="520" t="s">
        <v>531</v>
      </c>
      <c r="C277" s="529">
        <f>C$266</f>
        <v>343242.37000000011</v>
      </c>
      <c r="D277" s="530">
        <f>D266</f>
        <v>284242.37000000011</v>
      </c>
      <c r="E277" s="531">
        <f t="shared" ref="E277" si="22">E266</f>
        <v>625360.34000000008</v>
      </c>
      <c r="F277" s="530">
        <f>F$266</f>
        <v>155.97999999998137</v>
      </c>
      <c r="G277" s="530">
        <f>G266</f>
        <v>0</v>
      </c>
      <c r="H277" s="530">
        <f t="shared" ref="H277:T277" si="23">H266</f>
        <v>550099.74</v>
      </c>
      <c r="I277" s="533">
        <f t="shared" si="23"/>
        <v>479394.07</v>
      </c>
      <c r="J277" s="533">
        <f t="shared" si="23"/>
        <v>377819.02999999991</v>
      </c>
      <c r="K277" s="533">
        <f t="shared" si="23"/>
        <v>326559.33999999991</v>
      </c>
      <c r="L277" s="533">
        <f t="shared" si="23"/>
        <v>291484.02999999991</v>
      </c>
      <c r="M277" s="533">
        <f t="shared" si="23"/>
        <v>237012.61999999988</v>
      </c>
      <c r="N277" s="533">
        <f t="shared" si="23"/>
        <v>221642.34999999992</v>
      </c>
      <c r="O277" s="533">
        <f t="shared" si="23"/>
        <v>379280.24</v>
      </c>
      <c r="P277" s="533">
        <f t="shared" si="23"/>
        <v>459064.63</v>
      </c>
      <c r="Q277" s="533">
        <f t="shared" si="23"/>
        <v>465233.75999999989</v>
      </c>
      <c r="R277" s="533">
        <f t="shared" si="23"/>
        <v>337462.60999999987</v>
      </c>
      <c r="S277" s="533">
        <f t="shared" si="23"/>
        <v>0</v>
      </c>
      <c r="T277" s="533">
        <f t="shared" si="23"/>
        <v>285497.78000000003</v>
      </c>
    </row>
    <row r="278" spans="2:22" x14ac:dyDescent="0.2">
      <c r="B278" s="520" t="s">
        <v>512</v>
      </c>
      <c r="C278" s="529">
        <v>115000</v>
      </c>
      <c r="D278" s="530">
        <v>115000</v>
      </c>
      <c r="E278" s="536">
        <v>115000</v>
      </c>
      <c r="F278" s="530">
        <v>115000</v>
      </c>
      <c r="G278" s="530">
        <v>115000</v>
      </c>
      <c r="H278" s="537">
        <v>115000</v>
      </c>
      <c r="I278" s="525">
        <v>115000</v>
      </c>
      <c r="J278" s="525">
        <v>115000</v>
      </c>
      <c r="K278" s="525">
        <v>115000</v>
      </c>
      <c r="L278" s="525">
        <v>115000</v>
      </c>
      <c r="M278" s="525">
        <v>115000</v>
      </c>
      <c r="N278" s="525">
        <v>115000</v>
      </c>
      <c r="O278" s="525">
        <v>115000</v>
      </c>
      <c r="P278" s="525">
        <v>115000</v>
      </c>
      <c r="Q278" s="525">
        <v>115000</v>
      </c>
      <c r="R278" s="525">
        <v>115000</v>
      </c>
      <c r="S278" s="525"/>
      <c r="T278" s="525">
        <v>115000</v>
      </c>
    </row>
    <row r="279" spans="2:22" x14ac:dyDescent="0.2">
      <c r="B279" s="520" t="s">
        <v>1173</v>
      </c>
      <c r="C279" s="529">
        <v>5000</v>
      </c>
      <c r="D279" s="530">
        <v>5000</v>
      </c>
      <c r="E279" s="536">
        <v>5000</v>
      </c>
      <c r="F279" s="530">
        <v>5000</v>
      </c>
      <c r="G279" s="530">
        <v>5000</v>
      </c>
      <c r="H279" s="537">
        <v>5000</v>
      </c>
      <c r="I279" s="525">
        <v>5000</v>
      </c>
      <c r="J279" s="525">
        <v>5000</v>
      </c>
      <c r="K279" s="525">
        <v>5000</v>
      </c>
      <c r="L279" s="525">
        <v>5000</v>
      </c>
      <c r="M279" s="525">
        <v>5000</v>
      </c>
      <c r="N279" s="525">
        <v>5000</v>
      </c>
      <c r="O279" s="525">
        <v>5000</v>
      </c>
      <c r="P279" s="525">
        <v>5000</v>
      </c>
      <c r="Q279" s="525">
        <v>5000</v>
      </c>
      <c r="R279" s="525">
        <v>5000</v>
      </c>
      <c r="S279" s="525"/>
      <c r="T279" s="525">
        <v>5000</v>
      </c>
    </row>
    <row r="280" spans="2:22" x14ac:dyDescent="0.2">
      <c r="B280" s="520" t="s">
        <v>533</v>
      </c>
      <c r="C280" s="529">
        <v>195000</v>
      </c>
      <c r="D280" s="530">
        <v>195000</v>
      </c>
      <c r="E280" s="536">
        <v>195000</v>
      </c>
      <c r="F280" s="530">
        <v>60000</v>
      </c>
      <c r="G280" s="530">
        <v>60000</v>
      </c>
      <c r="H280" s="537">
        <v>195000</v>
      </c>
      <c r="I280" s="525">
        <v>195000</v>
      </c>
      <c r="J280" s="525">
        <v>195000</v>
      </c>
      <c r="K280" s="525">
        <v>195000</v>
      </c>
      <c r="L280" s="525">
        <v>195000</v>
      </c>
      <c r="M280" s="525">
        <v>195000</v>
      </c>
      <c r="N280" s="525">
        <v>195000</v>
      </c>
      <c r="O280" s="525">
        <v>195000</v>
      </c>
      <c r="P280" s="525">
        <v>195000</v>
      </c>
      <c r="Q280" s="525">
        <v>195000</v>
      </c>
      <c r="R280" s="525">
        <v>195000</v>
      </c>
      <c r="S280" s="525"/>
      <c r="T280" s="525">
        <v>60000</v>
      </c>
    </row>
    <row r="281" spans="2:22" x14ac:dyDescent="0.2">
      <c r="B281" s="519" t="s">
        <v>534</v>
      </c>
      <c r="C281" s="529">
        <f>SUM(C$277:C$280)</f>
        <v>658242.37000000011</v>
      </c>
      <c r="D281" s="530">
        <f>SUM(D277:D280)</f>
        <v>599242.37000000011</v>
      </c>
      <c r="E281" s="531">
        <f t="shared" ref="E281" si="24">SUM(E277:E280)</f>
        <v>940360.34000000008</v>
      </c>
      <c r="F281" s="530">
        <f>SUM(F$277:F$280)</f>
        <v>180155.97999999998</v>
      </c>
      <c r="G281" s="530">
        <f>SUM(G277:G280)</f>
        <v>180000</v>
      </c>
      <c r="H281" s="530">
        <f>SUM(H$277:H$280)</f>
        <v>865099.74</v>
      </c>
      <c r="I281" s="532">
        <f t="shared" ref="I281:T281" si="25">SUM(I277:I280)</f>
        <v>794394.07000000007</v>
      </c>
      <c r="J281" s="532">
        <f t="shared" si="25"/>
        <v>692819.02999999991</v>
      </c>
      <c r="K281" s="533">
        <f t="shared" si="25"/>
        <v>641559.33999999985</v>
      </c>
      <c r="L281" s="533">
        <f t="shared" si="25"/>
        <v>606484.02999999991</v>
      </c>
      <c r="M281" s="533">
        <f t="shared" si="25"/>
        <v>552012.61999999988</v>
      </c>
      <c r="N281" s="533">
        <f t="shared" si="25"/>
        <v>536642.34999999986</v>
      </c>
      <c r="O281" s="533">
        <f t="shared" si="25"/>
        <v>694280.24</v>
      </c>
      <c r="P281" s="533">
        <f t="shared" si="25"/>
        <v>774064.63</v>
      </c>
      <c r="Q281" s="533">
        <f t="shared" si="25"/>
        <v>780233.75999999989</v>
      </c>
      <c r="R281" s="533">
        <f t="shared" si="25"/>
        <v>652462.60999999987</v>
      </c>
      <c r="S281" s="533">
        <f t="shared" si="25"/>
        <v>0</v>
      </c>
      <c r="T281" s="533">
        <f t="shared" si="25"/>
        <v>465497.78</v>
      </c>
    </row>
    <row r="282" spans="2:22" x14ac:dyDescent="0.2">
      <c r="C282" s="529"/>
      <c r="D282" s="530"/>
      <c r="E282" s="538"/>
      <c r="F282" s="530"/>
      <c r="G282" s="530"/>
      <c r="H282" s="514"/>
      <c r="I282" s="514"/>
      <c r="J282" s="514"/>
      <c r="K282" s="514"/>
      <c r="L282" s="514"/>
      <c r="M282" s="514"/>
      <c r="N282" s="514"/>
      <c r="O282" s="539"/>
      <c r="P282" s="539"/>
      <c r="Q282" s="539"/>
      <c r="R282" s="539"/>
      <c r="S282" s="539"/>
      <c r="T282" s="539"/>
    </row>
    <row r="283" spans="2:22" x14ac:dyDescent="0.2">
      <c r="B283" s="519"/>
      <c r="C283" s="540"/>
      <c r="D283" s="541"/>
      <c r="E283" s="538"/>
      <c r="F283" s="541"/>
      <c r="G283" s="541"/>
      <c r="O283" s="539"/>
      <c r="P283" s="539"/>
      <c r="Q283" s="539"/>
      <c r="R283" s="539"/>
      <c r="S283" s="539"/>
      <c r="T283" s="539"/>
    </row>
    <row r="284" spans="2:22" s="367" customFormat="1" x14ac:dyDescent="0.2">
      <c r="B284" s="519" t="s">
        <v>535</v>
      </c>
      <c r="C284" s="542" t="s">
        <v>1171</v>
      </c>
      <c r="D284" s="543" t="s">
        <v>1171</v>
      </c>
      <c r="E284" s="544"/>
      <c r="F284" s="543" t="s">
        <v>1171</v>
      </c>
      <c r="G284" s="543" t="s">
        <v>1172</v>
      </c>
      <c r="H284" s="545"/>
      <c r="I284" s="545"/>
      <c r="J284" s="545"/>
      <c r="K284" s="545"/>
      <c r="L284" s="545"/>
      <c r="M284" s="545"/>
      <c r="N284" s="545"/>
      <c r="O284" s="545"/>
      <c r="P284" s="545"/>
      <c r="Q284" s="545"/>
      <c r="R284" s="545"/>
      <c r="S284" s="545"/>
      <c r="T284" s="545"/>
      <c r="U284" s="365"/>
      <c r="V284" s="343"/>
    </row>
    <row r="285" spans="2:22" x14ac:dyDescent="0.2">
      <c r="B285" s="546"/>
      <c r="C285" s="529"/>
      <c r="D285" s="530"/>
      <c r="E285" s="538"/>
      <c r="F285" s="530"/>
      <c r="G285" s="530"/>
      <c r="H285" s="514"/>
      <c r="I285" s="514"/>
      <c r="J285" s="514"/>
      <c r="K285" s="514"/>
      <c r="L285" s="514"/>
      <c r="M285" s="514"/>
      <c r="N285" s="514"/>
      <c r="O285" s="547"/>
      <c r="P285" s="539"/>
      <c r="Q285" s="539"/>
      <c r="R285" s="539"/>
      <c r="S285" s="539"/>
      <c r="T285" s="539"/>
    </row>
    <row r="286" spans="2:22" s="367" customFormat="1" x14ac:dyDescent="0.2">
      <c r="B286" s="548" t="s">
        <v>524</v>
      </c>
      <c r="C286" s="549">
        <f>C274</f>
        <v>658242.37000000011</v>
      </c>
      <c r="D286" s="550">
        <f>D281</f>
        <v>599242.37000000011</v>
      </c>
      <c r="E286" s="544"/>
      <c r="F286" s="550">
        <f>F274</f>
        <v>180155.97999999998</v>
      </c>
      <c r="G286" s="550"/>
      <c r="H286" s="545"/>
      <c r="I286" s="545"/>
      <c r="J286" s="545"/>
      <c r="K286" s="545"/>
      <c r="L286" s="545"/>
      <c r="M286" s="545"/>
      <c r="N286" s="545"/>
      <c r="O286" s="545"/>
      <c r="P286" s="545"/>
      <c r="Q286" s="545"/>
      <c r="R286" s="545"/>
      <c r="S286" s="545"/>
      <c r="T286" s="545"/>
      <c r="U286" s="365"/>
      <c r="V286" s="343"/>
    </row>
    <row r="287" spans="2:22" s="367" customFormat="1" x14ac:dyDescent="0.2">
      <c r="B287" s="551" t="s">
        <v>1174</v>
      </c>
      <c r="C287" s="529"/>
      <c r="D287" s="530"/>
      <c r="E287" s="538"/>
      <c r="F287" s="530"/>
      <c r="G287" s="530"/>
      <c r="H287" s="514"/>
      <c r="I287" s="514"/>
      <c r="J287" s="514"/>
      <c r="K287" s="514"/>
      <c r="L287" s="514"/>
      <c r="M287" s="514"/>
      <c r="N287" s="514"/>
      <c r="O287" s="539"/>
      <c r="P287" s="539"/>
      <c r="Q287" s="539"/>
      <c r="R287" s="539"/>
      <c r="S287" s="539"/>
      <c r="T287" s="539"/>
      <c r="U287" s="365"/>
      <c r="V287" s="343"/>
    </row>
    <row r="288" spans="2:22" s="367" customFormat="1" x14ac:dyDescent="0.2">
      <c r="B288" s="548" t="s">
        <v>1175</v>
      </c>
      <c r="C288" s="529">
        <f>C24*0.05</f>
        <v>61050</v>
      </c>
      <c r="D288" s="530">
        <f>D24*0.05</f>
        <v>59000</v>
      </c>
      <c r="E288" s="544"/>
      <c r="F288" s="530">
        <f>F24*0.05</f>
        <v>28000</v>
      </c>
      <c r="G288" s="530">
        <f>G24*0.05</f>
        <v>0</v>
      </c>
      <c r="H288" s="545"/>
      <c r="I288" s="545"/>
      <c r="J288" s="545"/>
      <c r="K288" s="545"/>
      <c r="L288" s="552"/>
      <c r="M288" s="545"/>
      <c r="N288" s="545"/>
      <c r="O288" s="545"/>
      <c r="P288" s="545"/>
      <c r="Q288" s="545"/>
      <c r="R288" s="545"/>
      <c r="S288" s="545"/>
      <c r="T288" s="545"/>
      <c r="U288" s="365"/>
      <c r="V288" s="343"/>
    </row>
    <row r="289" spans="2:7" x14ac:dyDescent="0.2">
      <c r="B289" s="553" t="s">
        <v>1176</v>
      </c>
      <c r="C289" s="554">
        <f>C286-C288</f>
        <v>597192.37000000011</v>
      </c>
      <c r="D289" s="555">
        <f>D286-D288</f>
        <v>540242.37000000011</v>
      </c>
      <c r="F289" s="555">
        <f>F286-F288</f>
        <v>152155.97999999998</v>
      </c>
      <c r="G289" s="555">
        <f>G286-G288</f>
        <v>0</v>
      </c>
    </row>
    <row r="290" spans="2:7" x14ac:dyDescent="0.2">
      <c r="C290" s="540"/>
      <c r="D290" s="541"/>
      <c r="F290" s="541"/>
      <c r="G290" s="541"/>
    </row>
    <row r="291" spans="2:7" x14ac:dyDescent="0.2">
      <c r="B291" s="556" t="s">
        <v>1177</v>
      </c>
      <c r="C291" s="529">
        <f>C24*0.18</f>
        <v>219780</v>
      </c>
      <c r="D291" s="530">
        <f>D24*0.18</f>
        <v>212400</v>
      </c>
      <c r="F291" s="530">
        <f>F24*0.18</f>
        <v>100800</v>
      </c>
      <c r="G291" s="530">
        <f>G24*0.18</f>
        <v>0</v>
      </c>
    </row>
    <row r="292" spans="2:7" x14ac:dyDescent="0.2">
      <c r="B292" s="546"/>
    </row>
    <row r="293" spans="2:7" x14ac:dyDescent="0.2">
      <c r="B293" s="559" t="s">
        <v>1178</v>
      </c>
      <c r="C293" s="560">
        <f>C289-C291</f>
        <v>377412.37000000011</v>
      </c>
      <c r="D293" s="561">
        <f>D289-D291</f>
        <v>327842.37000000011</v>
      </c>
      <c r="F293" s="561">
        <f>F289-F291</f>
        <v>51355.979999999981</v>
      </c>
      <c r="G293" s="561">
        <f>G289-G291</f>
        <v>0</v>
      </c>
    </row>
  </sheetData>
  <pageMargins left="1.1023622047244095" right="0.31496062992125984" top="0.39370078740157483" bottom="0.59055118110236227" header="0.31496062992125984" footer="0.31496062992125984"/>
  <pageSetup paperSize="8"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3AE53-A374-49B7-8206-BB7E722FE911}">
  <dimension ref="A1:Z293"/>
  <sheetViews>
    <sheetView workbookViewId="0">
      <selection activeCell="N9" sqref="N9"/>
    </sheetView>
  </sheetViews>
  <sheetFormatPr baseColWidth="10" defaultColWidth="11.5" defaultRowHeight="15" x14ac:dyDescent="0.2"/>
  <cols>
    <col min="1" max="2" width="10.1640625" style="30" customWidth="1"/>
    <col min="3" max="3" width="38.5" style="30" bestFit="1" customWidth="1"/>
    <col min="4" max="4" width="17.33203125" style="558" customWidth="1"/>
    <col min="5" max="5" width="13.6640625" style="30" customWidth="1"/>
    <col min="6" max="6" width="17.33203125" style="558" customWidth="1"/>
    <col min="7" max="7" width="17.33203125" style="558" hidden="1" customWidth="1"/>
    <col min="8" max="9" width="13.83203125" style="30" hidden="1" customWidth="1"/>
    <col min="10" max="10" width="13.83203125" style="30" customWidth="1"/>
    <col min="11" max="11" width="13.83203125" style="30" hidden="1" customWidth="1"/>
    <col min="12" max="12" width="13.83203125" style="30" customWidth="1"/>
    <col min="13" max="14" width="13.6640625" style="30" customWidth="1"/>
    <col min="15" max="17" width="13.83203125" style="30" customWidth="1"/>
    <col min="18" max="21" width="15.5" style="30" customWidth="1"/>
    <col min="22" max="22" width="14" style="30" customWidth="1"/>
    <col min="23" max="24" width="13.6640625" style="30" customWidth="1"/>
    <col min="25" max="25" width="14.33203125" style="342" customWidth="1"/>
    <col min="26" max="26" width="11.5" style="366"/>
    <col min="27" max="16384" width="11.5" style="30"/>
  </cols>
  <sheetData>
    <row r="1" spans="1:26" x14ac:dyDescent="0.2">
      <c r="A1" s="667"/>
      <c r="B1" s="668"/>
      <c r="C1" s="668"/>
      <c r="D1" s="669" t="s">
        <v>769</v>
      </c>
      <c r="E1" s="670" t="s">
        <v>769</v>
      </c>
      <c r="F1" s="671" t="s">
        <v>769</v>
      </c>
      <c r="G1" s="672" t="s">
        <v>769</v>
      </c>
      <c r="H1" s="673" t="s">
        <v>769</v>
      </c>
      <c r="I1" s="672" t="s">
        <v>769</v>
      </c>
      <c r="J1" s="673" t="s">
        <v>769</v>
      </c>
      <c r="K1" s="672" t="s">
        <v>769</v>
      </c>
      <c r="L1" s="673" t="s">
        <v>769</v>
      </c>
      <c r="M1" s="673" t="s">
        <v>769</v>
      </c>
      <c r="N1" s="673" t="s">
        <v>769</v>
      </c>
      <c r="O1" s="673" t="s">
        <v>769</v>
      </c>
      <c r="P1" s="673" t="s">
        <v>769</v>
      </c>
      <c r="Q1" s="673" t="s">
        <v>769</v>
      </c>
      <c r="R1" s="673" t="s">
        <v>769</v>
      </c>
      <c r="S1" s="673" t="s">
        <v>769</v>
      </c>
      <c r="T1" s="673" t="s">
        <v>769</v>
      </c>
      <c r="U1" s="673" t="s">
        <v>769</v>
      </c>
      <c r="V1" s="673" t="s">
        <v>769</v>
      </c>
      <c r="W1" s="673" t="s">
        <v>769</v>
      </c>
      <c r="X1" s="673" t="s">
        <v>769</v>
      </c>
      <c r="Z1" s="343"/>
    </row>
    <row r="2" spans="1:26" x14ac:dyDescent="0.2">
      <c r="A2" s="344"/>
      <c r="D2" s="346" t="s">
        <v>773</v>
      </c>
      <c r="E2" s="347" t="s">
        <v>773</v>
      </c>
      <c r="F2" s="348" t="s">
        <v>1271</v>
      </c>
      <c r="G2" s="674" t="s">
        <v>1271</v>
      </c>
      <c r="H2" s="348" t="s">
        <v>1272</v>
      </c>
      <c r="I2" s="674" t="s">
        <v>1271</v>
      </c>
      <c r="J2" s="348" t="s">
        <v>1272</v>
      </c>
      <c r="K2" s="674" t="s">
        <v>1271</v>
      </c>
      <c r="L2" s="348" t="s">
        <v>1272</v>
      </c>
      <c r="M2" s="348" t="s">
        <v>1272</v>
      </c>
      <c r="N2" s="348" t="s">
        <v>1272</v>
      </c>
      <c r="O2" s="348" t="s">
        <v>1272</v>
      </c>
      <c r="P2" s="348" t="s">
        <v>1272</v>
      </c>
      <c r="Q2" s="348" t="s">
        <v>1272</v>
      </c>
      <c r="R2" s="348" t="s">
        <v>1272</v>
      </c>
      <c r="S2" s="348" t="s">
        <v>1272</v>
      </c>
      <c r="T2" s="348" t="s">
        <v>1272</v>
      </c>
      <c r="U2" s="348" t="s">
        <v>1272</v>
      </c>
      <c r="V2" s="348" t="s">
        <v>1272</v>
      </c>
      <c r="W2" s="348" t="s">
        <v>1272</v>
      </c>
      <c r="X2" s="348" t="s">
        <v>1272</v>
      </c>
      <c r="Z2" s="343"/>
    </row>
    <row r="3" spans="1:26" x14ac:dyDescent="0.2">
      <c r="A3" s="344" t="s">
        <v>774</v>
      </c>
      <c r="B3" s="30" t="s">
        <v>1273</v>
      </c>
      <c r="D3" s="346" t="s">
        <v>775</v>
      </c>
      <c r="E3" s="349" t="s">
        <v>8</v>
      </c>
      <c r="F3" s="348" t="s">
        <v>775</v>
      </c>
      <c r="G3" s="674" t="s">
        <v>775</v>
      </c>
      <c r="H3" s="350" t="s">
        <v>8</v>
      </c>
      <c r="I3" s="674" t="s">
        <v>775</v>
      </c>
      <c r="J3" s="350" t="s">
        <v>8</v>
      </c>
      <c r="K3" s="674" t="s">
        <v>775</v>
      </c>
      <c r="L3" s="350" t="s">
        <v>8</v>
      </c>
      <c r="M3" s="350" t="s">
        <v>8</v>
      </c>
      <c r="N3" s="350" t="s">
        <v>8</v>
      </c>
      <c r="O3" s="350" t="s">
        <v>8</v>
      </c>
      <c r="P3" s="350" t="s">
        <v>8</v>
      </c>
      <c r="Q3" s="350" t="s">
        <v>8</v>
      </c>
      <c r="R3" s="350" t="s">
        <v>8</v>
      </c>
      <c r="S3" s="350" t="s">
        <v>8</v>
      </c>
      <c r="T3" s="350" t="s">
        <v>8</v>
      </c>
      <c r="U3" s="350" t="s">
        <v>8</v>
      </c>
      <c r="V3" s="350" t="s">
        <v>8</v>
      </c>
      <c r="W3" s="350" t="s">
        <v>8</v>
      </c>
      <c r="X3" s="350" t="s">
        <v>8</v>
      </c>
      <c r="Z3" s="343"/>
    </row>
    <row r="4" spans="1:26" ht="25.25" customHeight="1" x14ac:dyDescent="0.2">
      <c r="A4" s="351" t="s">
        <v>776</v>
      </c>
      <c r="B4" s="675"/>
      <c r="C4" s="675" t="s">
        <v>777</v>
      </c>
      <c r="D4" s="356" t="s">
        <v>780</v>
      </c>
      <c r="E4" s="676">
        <v>44834</v>
      </c>
      <c r="F4" s="677" t="s">
        <v>1274</v>
      </c>
      <c r="G4" s="678" t="s">
        <v>1275</v>
      </c>
      <c r="H4" s="357">
        <v>44865</v>
      </c>
      <c r="I4" s="679" t="s">
        <v>1276</v>
      </c>
      <c r="J4" s="357">
        <v>44895</v>
      </c>
      <c r="K4" s="679" t="s">
        <v>1277</v>
      </c>
      <c r="L4" s="357">
        <v>44910</v>
      </c>
      <c r="M4" s="357">
        <v>44957</v>
      </c>
      <c r="N4" s="357">
        <v>44985</v>
      </c>
      <c r="O4" s="357">
        <v>45008</v>
      </c>
      <c r="P4" s="357">
        <v>45016</v>
      </c>
      <c r="Q4" s="357">
        <v>45046</v>
      </c>
      <c r="R4" s="357">
        <v>45077</v>
      </c>
      <c r="S4" s="357">
        <v>45107</v>
      </c>
      <c r="T4" s="357">
        <v>45138</v>
      </c>
      <c r="U4" s="357">
        <v>45164</v>
      </c>
      <c r="V4" s="357">
        <v>45169</v>
      </c>
      <c r="W4" s="357">
        <v>45191</v>
      </c>
      <c r="X4" s="357" t="s">
        <v>1278</v>
      </c>
      <c r="Z4" s="343"/>
    </row>
    <row r="5" spans="1:26" s="367" customFormat="1" x14ac:dyDescent="0.2">
      <c r="A5" s="358" t="s">
        <v>708</v>
      </c>
      <c r="B5" s="358"/>
      <c r="C5" s="680"/>
      <c r="D5" s="681"/>
      <c r="E5" s="682"/>
      <c r="F5" s="683"/>
      <c r="G5" s="683"/>
      <c r="H5" s="364"/>
      <c r="I5" s="364"/>
      <c r="J5" s="364"/>
      <c r="K5" s="364"/>
      <c r="L5" s="364"/>
      <c r="M5" s="364"/>
      <c r="N5" s="364"/>
      <c r="O5" s="364"/>
      <c r="P5" s="364"/>
      <c r="Q5" s="364"/>
      <c r="R5" s="364"/>
      <c r="S5" s="364"/>
      <c r="T5" s="364"/>
      <c r="U5" s="364"/>
      <c r="V5" s="364"/>
      <c r="W5" s="364"/>
      <c r="X5" s="364"/>
      <c r="Y5" s="365"/>
      <c r="Z5" s="366"/>
    </row>
    <row r="6" spans="1:26" s="367" customFormat="1" x14ac:dyDescent="0.2">
      <c r="A6" s="368" t="s">
        <v>782</v>
      </c>
      <c r="B6" s="684"/>
      <c r="C6" s="680" t="s">
        <v>20</v>
      </c>
      <c r="D6" s="681"/>
      <c r="E6" s="685"/>
      <c r="F6" s="683"/>
      <c r="G6" s="683"/>
      <c r="H6" s="364"/>
      <c r="I6" s="364"/>
      <c r="J6" s="364"/>
      <c r="K6" s="364"/>
      <c r="L6" s="364"/>
      <c r="M6" s="364"/>
      <c r="N6" s="364"/>
      <c r="O6" s="364"/>
      <c r="P6" s="364"/>
      <c r="Q6" s="364"/>
      <c r="R6" s="364"/>
      <c r="S6" s="364"/>
      <c r="T6" s="364"/>
      <c r="U6" s="364"/>
      <c r="V6" s="364"/>
      <c r="W6" s="371"/>
      <c r="X6" s="371"/>
      <c r="Y6" s="365"/>
      <c r="Z6" s="366"/>
    </row>
    <row r="7" spans="1:26" s="367" customFormat="1" x14ac:dyDescent="0.2">
      <c r="A7" s="372" t="s">
        <v>783</v>
      </c>
      <c r="B7" s="372" t="s">
        <v>24</v>
      </c>
      <c r="C7" s="686" t="s">
        <v>784</v>
      </c>
      <c r="D7" s="687">
        <v>0</v>
      </c>
      <c r="E7" s="688">
        <v>0</v>
      </c>
      <c r="F7" s="689">
        <v>0</v>
      </c>
      <c r="G7" s="689">
        <f t="shared" ref="G7:G22" si="0">F7*1/12</f>
        <v>0</v>
      </c>
      <c r="H7" s="377">
        <v>0</v>
      </c>
      <c r="I7" s="690">
        <f>F7*2/12</f>
        <v>0</v>
      </c>
      <c r="J7" s="377">
        <v>0</v>
      </c>
      <c r="K7" s="690">
        <f>F7*3/12</f>
        <v>0</v>
      </c>
      <c r="L7" s="377">
        <v>0</v>
      </c>
      <c r="M7" s="377"/>
      <c r="N7" s="377"/>
      <c r="O7" s="377"/>
      <c r="P7" s="377"/>
      <c r="Q7" s="377"/>
      <c r="R7" s="377"/>
      <c r="S7" s="377"/>
      <c r="T7" s="377"/>
      <c r="U7" s="377"/>
      <c r="V7" s="377"/>
      <c r="W7" s="377"/>
      <c r="X7" s="377"/>
      <c r="Y7" s="365"/>
      <c r="Z7" s="366"/>
    </row>
    <row r="8" spans="1:26" s="367" customFormat="1" x14ac:dyDescent="0.2">
      <c r="A8" s="372" t="s">
        <v>30</v>
      </c>
      <c r="B8" s="372" t="s">
        <v>24</v>
      </c>
      <c r="C8" s="686" t="s">
        <v>785</v>
      </c>
      <c r="D8" s="687">
        <v>0</v>
      </c>
      <c r="E8" s="688">
        <v>0</v>
      </c>
      <c r="F8" s="689">
        <v>0</v>
      </c>
      <c r="G8" s="689">
        <f t="shared" si="0"/>
        <v>0</v>
      </c>
      <c r="H8" s="377">
        <v>0</v>
      </c>
      <c r="I8" s="690">
        <f t="shared" ref="I8:I22" si="1">F8*2/12</f>
        <v>0</v>
      </c>
      <c r="J8" s="377">
        <v>0</v>
      </c>
      <c r="K8" s="690">
        <f t="shared" ref="K8:K10" si="2">F8*3/12</f>
        <v>0</v>
      </c>
      <c r="L8" s="377">
        <v>0</v>
      </c>
      <c r="M8" s="377"/>
      <c r="N8" s="377"/>
      <c r="O8" s="377"/>
      <c r="P8" s="377"/>
      <c r="Q8" s="377"/>
      <c r="R8" s="377"/>
      <c r="S8" s="377"/>
      <c r="T8" s="377"/>
      <c r="U8" s="377"/>
      <c r="V8" s="377"/>
      <c r="W8" s="377"/>
      <c r="X8" s="377"/>
      <c r="Y8" s="365"/>
      <c r="Z8" s="366"/>
    </row>
    <row r="9" spans="1:26" x14ac:dyDescent="0.2">
      <c r="A9" s="378" t="s">
        <v>786</v>
      </c>
      <c r="B9" s="378" t="s">
        <v>786</v>
      </c>
      <c r="C9" s="691" t="s">
        <v>787</v>
      </c>
      <c r="D9" s="692">
        <v>5000</v>
      </c>
      <c r="E9" s="693">
        <v>6205</v>
      </c>
      <c r="F9" s="694">
        <v>5000</v>
      </c>
      <c r="G9" s="689">
        <f t="shared" si="0"/>
        <v>416.66666666666669</v>
      </c>
      <c r="H9" s="383">
        <v>1975</v>
      </c>
      <c r="I9" s="690">
        <f t="shared" si="1"/>
        <v>833.33333333333337</v>
      </c>
      <c r="J9" s="383">
        <v>1975</v>
      </c>
      <c r="K9" s="690">
        <f t="shared" si="2"/>
        <v>1250</v>
      </c>
      <c r="L9" s="383">
        <v>1975</v>
      </c>
      <c r="M9" s="383"/>
      <c r="N9" s="383"/>
      <c r="O9" s="383"/>
      <c r="P9" s="383"/>
      <c r="Q9" s="383"/>
      <c r="R9" s="383"/>
      <c r="S9" s="383"/>
      <c r="T9" s="383"/>
      <c r="U9" s="383"/>
      <c r="V9" s="397"/>
      <c r="W9" s="385"/>
      <c r="X9" s="385"/>
    </row>
    <row r="10" spans="1:26" x14ac:dyDescent="0.2">
      <c r="A10" s="378" t="s">
        <v>788</v>
      </c>
      <c r="B10" s="378" t="s">
        <v>786</v>
      </c>
      <c r="C10" s="691" t="s">
        <v>789</v>
      </c>
      <c r="D10" s="692">
        <v>1000</v>
      </c>
      <c r="E10" s="695">
        <v>0</v>
      </c>
      <c r="F10" s="694">
        <v>1000</v>
      </c>
      <c r="G10" s="689">
        <f t="shared" si="0"/>
        <v>83.333333333333329</v>
      </c>
      <c r="H10" s="383">
        <v>0</v>
      </c>
      <c r="I10" s="690">
        <f t="shared" si="1"/>
        <v>166.66666666666666</v>
      </c>
      <c r="J10" s="383">
        <v>0</v>
      </c>
      <c r="K10" s="690">
        <f t="shared" si="2"/>
        <v>250</v>
      </c>
      <c r="L10" s="383">
        <v>0</v>
      </c>
      <c r="M10" s="383"/>
      <c r="N10" s="383"/>
      <c r="O10" s="383"/>
      <c r="P10" s="383"/>
      <c r="Q10" s="383"/>
      <c r="R10" s="383"/>
      <c r="S10" s="383"/>
      <c r="T10" s="383"/>
      <c r="U10" s="383"/>
      <c r="V10" s="385"/>
      <c r="W10" s="385"/>
      <c r="X10" s="385"/>
    </row>
    <row r="11" spans="1:26" x14ac:dyDescent="0.2">
      <c r="A11" s="387" t="s">
        <v>790</v>
      </c>
      <c r="B11" s="387"/>
      <c r="C11" s="696" t="s">
        <v>791</v>
      </c>
      <c r="D11" s="697"/>
      <c r="E11" s="698"/>
      <c r="F11" s="699"/>
      <c r="G11" s="392"/>
      <c r="H11" s="392"/>
      <c r="I11" s="392"/>
      <c r="J11" s="392"/>
      <c r="K11" s="421"/>
      <c r="L11" s="392"/>
      <c r="M11" s="392"/>
      <c r="N11" s="392"/>
      <c r="O11" s="392"/>
      <c r="P11" s="392"/>
      <c r="Q11" s="392"/>
      <c r="R11" s="392"/>
      <c r="S11" s="392"/>
      <c r="T11" s="392"/>
      <c r="U11" s="392"/>
      <c r="V11" s="393"/>
      <c r="W11" s="393"/>
      <c r="X11" s="393"/>
    </row>
    <row r="12" spans="1:26" x14ac:dyDescent="0.2">
      <c r="A12" s="378" t="s">
        <v>34</v>
      </c>
      <c r="B12" s="378" t="s">
        <v>34</v>
      </c>
      <c r="C12" s="691" t="s">
        <v>792</v>
      </c>
      <c r="D12" s="692">
        <v>23000</v>
      </c>
      <c r="E12" s="693">
        <v>37605</v>
      </c>
      <c r="F12" s="694">
        <v>23000</v>
      </c>
      <c r="G12" s="689">
        <f t="shared" si="0"/>
        <v>1916.6666666666667</v>
      </c>
      <c r="H12" s="395">
        <v>90</v>
      </c>
      <c r="I12" s="690">
        <f t="shared" si="1"/>
        <v>3833.3333333333335</v>
      </c>
      <c r="J12" s="395">
        <v>135</v>
      </c>
      <c r="K12" s="700">
        <f>F12*3/12</f>
        <v>5750</v>
      </c>
      <c r="L12" s="395">
        <v>135</v>
      </c>
      <c r="M12" s="395"/>
      <c r="N12" s="395"/>
      <c r="O12" s="395"/>
      <c r="P12" s="395"/>
      <c r="Q12" s="395"/>
      <c r="R12" s="395"/>
      <c r="S12" s="395"/>
      <c r="T12" s="396"/>
      <c r="U12" s="396"/>
      <c r="V12" s="384"/>
      <c r="W12" s="384"/>
      <c r="X12" s="397"/>
    </row>
    <row r="13" spans="1:26" x14ac:dyDescent="0.2">
      <c r="A13" s="378" t="s">
        <v>37</v>
      </c>
      <c r="B13" s="378" t="s">
        <v>37</v>
      </c>
      <c r="C13" s="691" t="s">
        <v>793</v>
      </c>
      <c r="D13" s="692">
        <v>1500</v>
      </c>
      <c r="E13" s="701">
        <v>318</v>
      </c>
      <c r="F13" s="694">
        <v>1500</v>
      </c>
      <c r="G13" s="689">
        <f t="shared" si="0"/>
        <v>125</v>
      </c>
      <c r="H13" s="395">
        <v>0</v>
      </c>
      <c r="I13" s="690">
        <f t="shared" si="1"/>
        <v>250</v>
      </c>
      <c r="J13" s="395">
        <v>475</v>
      </c>
      <c r="K13" s="700">
        <f t="shared" ref="K13:K22" si="3">F13*3/12</f>
        <v>375</v>
      </c>
      <c r="L13" s="395">
        <v>490</v>
      </c>
      <c r="M13" s="395"/>
      <c r="N13" s="395"/>
      <c r="O13" s="395"/>
      <c r="P13" s="395"/>
      <c r="Q13" s="395"/>
      <c r="R13" s="395"/>
      <c r="S13" s="395"/>
      <c r="T13" s="395"/>
      <c r="U13" s="395"/>
      <c r="V13" s="397"/>
      <c r="W13" s="397"/>
      <c r="X13" s="397"/>
    </row>
    <row r="14" spans="1:26" x14ac:dyDescent="0.2">
      <c r="A14" s="378" t="s">
        <v>40</v>
      </c>
      <c r="B14" s="378" t="s">
        <v>40</v>
      </c>
      <c r="C14" s="691" t="s">
        <v>794</v>
      </c>
      <c r="D14" s="692">
        <v>4500</v>
      </c>
      <c r="E14" s="701">
        <v>2550</v>
      </c>
      <c r="F14" s="694">
        <v>4500</v>
      </c>
      <c r="G14" s="689">
        <f t="shared" si="0"/>
        <v>375</v>
      </c>
      <c r="H14" s="395">
        <v>90</v>
      </c>
      <c r="I14" s="690">
        <f t="shared" si="1"/>
        <v>750</v>
      </c>
      <c r="J14" s="395">
        <v>60</v>
      </c>
      <c r="K14" s="700">
        <f t="shared" si="3"/>
        <v>1125</v>
      </c>
      <c r="L14" s="395">
        <v>1000</v>
      </c>
      <c r="M14" s="395"/>
      <c r="N14" s="395"/>
      <c r="O14" s="395"/>
      <c r="P14" s="395"/>
      <c r="Q14" s="395"/>
      <c r="R14" s="395"/>
      <c r="S14" s="395"/>
      <c r="T14" s="395"/>
      <c r="U14" s="395"/>
      <c r="V14" s="397"/>
      <c r="W14" s="397"/>
      <c r="X14" s="397"/>
    </row>
    <row r="15" spans="1:26" x14ac:dyDescent="0.2">
      <c r="A15" s="378" t="s">
        <v>77</v>
      </c>
      <c r="B15" s="378" t="s">
        <v>77</v>
      </c>
      <c r="C15" s="691" t="s">
        <v>795</v>
      </c>
      <c r="D15" s="692">
        <v>32000</v>
      </c>
      <c r="E15" s="701">
        <v>24965</v>
      </c>
      <c r="F15" s="694">
        <v>32000</v>
      </c>
      <c r="G15" s="689">
        <f t="shared" si="0"/>
        <v>2666.6666666666665</v>
      </c>
      <c r="H15" s="395">
        <v>-340</v>
      </c>
      <c r="I15" s="690">
        <f t="shared" si="1"/>
        <v>5333.333333333333</v>
      </c>
      <c r="J15" s="395">
        <v>-340</v>
      </c>
      <c r="K15" s="700">
        <f t="shared" si="3"/>
        <v>8000</v>
      </c>
      <c r="L15" s="395">
        <v>-340</v>
      </c>
      <c r="M15" s="395"/>
      <c r="N15" s="395"/>
      <c r="O15" s="395"/>
      <c r="P15" s="395"/>
      <c r="Q15" s="395"/>
      <c r="R15" s="395"/>
      <c r="S15" s="395"/>
      <c r="T15" s="395"/>
      <c r="U15" s="395"/>
      <c r="V15" s="397"/>
      <c r="W15" s="397"/>
      <c r="X15" s="397"/>
    </row>
    <row r="16" spans="1:26" x14ac:dyDescent="0.2">
      <c r="A16" s="372" t="s">
        <v>796</v>
      </c>
      <c r="B16" s="378" t="s">
        <v>796</v>
      </c>
      <c r="C16" s="686" t="s">
        <v>797</v>
      </c>
      <c r="D16" s="692">
        <v>0</v>
      </c>
      <c r="E16" s="701">
        <v>0</v>
      </c>
      <c r="F16" s="694">
        <v>0</v>
      </c>
      <c r="G16" s="689">
        <f t="shared" si="0"/>
        <v>0</v>
      </c>
      <c r="H16" s="395">
        <v>0</v>
      </c>
      <c r="I16" s="690">
        <f t="shared" si="1"/>
        <v>0</v>
      </c>
      <c r="J16" s="395">
        <v>0</v>
      </c>
      <c r="K16" s="700">
        <f t="shared" si="3"/>
        <v>0</v>
      </c>
      <c r="L16" s="395">
        <v>0</v>
      </c>
      <c r="M16" s="395"/>
      <c r="N16" s="395"/>
      <c r="O16" s="395"/>
      <c r="P16" s="395"/>
      <c r="Q16" s="395"/>
      <c r="R16" s="395"/>
      <c r="S16" s="395"/>
      <c r="T16" s="395"/>
      <c r="U16" s="395"/>
      <c r="V16" s="397"/>
      <c r="W16" s="397"/>
      <c r="X16" s="397"/>
    </row>
    <row r="17" spans="1:24" x14ac:dyDescent="0.2">
      <c r="A17" s="378" t="s">
        <v>74</v>
      </c>
      <c r="B17" s="378" t="s">
        <v>74</v>
      </c>
      <c r="C17" s="691" t="s">
        <v>798</v>
      </c>
      <c r="D17" s="692">
        <v>24000</v>
      </c>
      <c r="E17" s="701">
        <v>23964</v>
      </c>
      <c r="F17" s="694">
        <v>24000</v>
      </c>
      <c r="G17" s="689">
        <f t="shared" si="0"/>
        <v>2000</v>
      </c>
      <c r="H17" s="395">
        <v>0</v>
      </c>
      <c r="I17" s="690">
        <f t="shared" si="1"/>
        <v>4000</v>
      </c>
      <c r="J17" s="395">
        <v>0</v>
      </c>
      <c r="K17" s="700">
        <f t="shared" si="3"/>
        <v>6000</v>
      </c>
      <c r="L17" s="395">
        <v>0</v>
      </c>
      <c r="M17" s="395"/>
      <c r="N17" s="395"/>
      <c r="O17" s="395"/>
      <c r="P17" s="395"/>
      <c r="Q17" s="395"/>
      <c r="R17" s="395"/>
      <c r="S17" s="395"/>
      <c r="T17" s="395"/>
      <c r="U17" s="395"/>
      <c r="V17" s="397"/>
      <c r="W17" s="397"/>
      <c r="X17" s="397"/>
    </row>
    <row r="18" spans="1:24" x14ac:dyDescent="0.2">
      <c r="A18" s="378" t="s">
        <v>799</v>
      </c>
      <c r="B18" s="378" t="s">
        <v>32</v>
      </c>
      <c r="C18" s="691" t="s">
        <v>800</v>
      </c>
      <c r="D18" s="692">
        <v>2500</v>
      </c>
      <c r="E18" s="701">
        <v>0</v>
      </c>
      <c r="F18" s="694">
        <v>2500</v>
      </c>
      <c r="G18" s="689">
        <f t="shared" si="0"/>
        <v>208.33333333333334</v>
      </c>
      <c r="H18" s="395">
        <v>0</v>
      </c>
      <c r="I18" s="690">
        <f t="shared" si="1"/>
        <v>416.66666666666669</v>
      </c>
      <c r="J18" s="395">
        <v>0</v>
      </c>
      <c r="K18" s="700">
        <f t="shared" si="3"/>
        <v>625</v>
      </c>
      <c r="L18" s="395">
        <v>0</v>
      </c>
      <c r="M18" s="395"/>
      <c r="N18" s="395"/>
      <c r="O18" s="395"/>
      <c r="P18" s="395"/>
      <c r="Q18" s="395"/>
      <c r="R18" s="395"/>
      <c r="S18" s="395"/>
      <c r="T18" s="395"/>
      <c r="U18" s="395"/>
      <c r="V18" s="397"/>
      <c r="W18" s="702"/>
      <c r="X18" s="702"/>
    </row>
    <row r="19" spans="1:24" x14ac:dyDescent="0.2">
      <c r="A19" s="378" t="s">
        <v>801</v>
      </c>
      <c r="B19" s="378" t="s">
        <v>796</v>
      </c>
      <c r="C19" s="691" t="s">
        <v>802</v>
      </c>
      <c r="D19" s="692">
        <v>14500</v>
      </c>
      <c r="E19" s="701">
        <v>0</v>
      </c>
      <c r="F19" s="694">
        <v>14500</v>
      </c>
      <c r="G19" s="689">
        <f t="shared" si="0"/>
        <v>1208.3333333333333</v>
      </c>
      <c r="H19" s="395">
        <v>0</v>
      </c>
      <c r="I19" s="690">
        <f t="shared" si="1"/>
        <v>2416.6666666666665</v>
      </c>
      <c r="J19" s="395">
        <v>0</v>
      </c>
      <c r="K19" s="700">
        <f t="shared" si="3"/>
        <v>3625</v>
      </c>
      <c r="L19" s="395">
        <v>0</v>
      </c>
      <c r="M19" s="395"/>
      <c r="N19" s="395"/>
      <c r="O19" s="395"/>
      <c r="P19" s="395"/>
      <c r="Q19" s="395"/>
      <c r="R19" s="395"/>
      <c r="S19" s="395"/>
      <c r="T19" s="395"/>
      <c r="U19" s="395"/>
      <c r="V19" s="397"/>
      <c r="W19" s="397"/>
      <c r="X19" s="397"/>
    </row>
    <row r="20" spans="1:24" x14ac:dyDescent="0.2">
      <c r="A20" s="378" t="s">
        <v>803</v>
      </c>
      <c r="B20" s="378" t="s">
        <v>796</v>
      </c>
      <c r="C20" s="691" t="s">
        <v>804</v>
      </c>
      <c r="D20" s="692">
        <v>10000</v>
      </c>
      <c r="E20" s="701">
        <v>0</v>
      </c>
      <c r="F20" s="694">
        <v>10000</v>
      </c>
      <c r="G20" s="689">
        <f t="shared" si="0"/>
        <v>833.33333333333337</v>
      </c>
      <c r="H20" s="395">
        <v>0</v>
      </c>
      <c r="I20" s="690">
        <f t="shared" si="1"/>
        <v>1666.6666666666667</v>
      </c>
      <c r="J20" s="395">
        <v>0</v>
      </c>
      <c r="K20" s="700">
        <f t="shared" si="3"/>
        <v>2500</v>
      </c>
      <c r="L20" s="395">
        <v>0</v>
      </c>
      <c r="M20" s="395"/>
      <c r="N20" s="395"/>
      <c r="O20" s="395"/>
      <c r="P20" s="395"/>
      <c r="Q20" s="395"/>
      <c r="R20" s="395"/>
      <c r="S20" s="395"/>
      <c r="T20" s="395"/>
      <c r="U20" s="395"/>
      <c r="V20" s="397"/>
      <c r="W20" s="397"/>
      <c r="X20" s="397"/>
    </row>
    <row r="21" spans="1:24" x14ac:dyDescent="0.2">
      <c r="A21" s="399" t="s">
        <v>27</v>
      </c>
      <c r="B21" s="378" t="s">
        <v>27</v>
      </c>
      <c r="C21" s="703" t="s">
        <v>805</v>
      </c>
      <c r="D21" s="692">
        <v>0</v>
      </c>
      <c r="E21" s="701">
        <v>0</v>
      </c>
      <c r="F21" s="694">
        <v>0</v>
      </c>
      <c r="G21" s="689">
        <f t="shared" si="0"/>
        <v>0</v>
      </c>
      <c r="H21" s="395">
        <v>0</v>
      </c>
      <c r="I21" s="690">
        <f t="shared" si="1"/>
        <v>0</v>
      </c>
      <c r="J21" s="395">
        <v>0</v>
      </c>
      <c r="K21" s="700">
        <f t="shared" si="3"/>
        <v>0</v>
      </c>
      <c r="L21" s="395">
        <v>0</v>
      </c>
      <c r="M21" s="395"/>
      <c r="N21" s="395"/>
      <c r="O21" s="395"/>
      <c r="P21" s="395"/>
      <c r="Q21" s="395"/>
      <c r="R21" s="395"/>
      <c r="S21" s="395"/>
      <c r="T21" s="395"/>
      <c r="U21" s="395"/>
      <c r="V21" s="397"/>
      <c r="W21" s="397"/>
      <c r="X21" s="397"/>
    </row>
    <row r="22" spans="1:24" x14ac:dyDescent="0.2">
      <c r="A22" s="401" t="s">
        <v>59</v>
      </c>
      <c r="B22" s="378" t="s">
        <v>59</v>
      </c>
      <c r="C22" s="704" t="s">
        <v>806</v>
      </c>
      <c r="D22" s="692">
        <v>7000</v>
      </c>
      <c r="E22" s="701">
        <v>6229.55</v>
      </c>
      <c r="F22" s="694">
        <v>7000</v>
      </c>
      <c r="G22" s="689">
        <f t="shared" si="0"/>
        <v>583.33333333333337</v>
      </c>
      <c r="H22" s="395">
        <v>130</v>
      </c>
      <c r="I22" s="690">
        <f t="shared" si="1"/>
        <v>1166.6666666666667</v>
      </c>
      <c r="J22" s="395">
        <v>650</v>
      </c>
      <c r="K22" s="700">
        <f t="shared" si="3"/>
        <v>1750</v>
      </c>
      <c r="L22" s="395">
        <v>960</v>
      </c>
      <c r="M22" s="395"/>
      <c r="N22" s="395"/>
      <c r="O22" s="395"/>
      <c r="P22" s="395"/>
      <c r="Q22" s="395"/>
      <c r="R22" s="395"/>
      <c r="S22" s="395"/>
      <c r="T22" s="395"/>
      <c r="U22" s="395"/>
      <c r="V22" s="397"/>
      <c r="W22" s="397"/>
      <c r="X22" s="397"/>
    </row>
    <row r="23" spans="1:24" x14ac:dyDescent="0.2">
      <c r="A23" s="705"/>
      <c r="B23" s="706"/>
      <c r="C23" s="707" t="s">
        <v>807</v>
      </c>
      <c r="D23" s="708">
        <f t="shared" ref="D23" si="4">SUM(D7:D22)</f>
        <v>125000</v>
      </c>
      <c r="E23" s="632">
        <f t="shared" ref="E23:X23" si="5">SUM(E7:E22)</f>
        <v>101836.55</v>
      </c>
      <c r="F23" s="709">
        <f t="shared" si="5"/>
        <v>125000</v>
      </c>
      <c r="G23" s="709">
        <f>SUM(G7:G22)</f>
        <v>10416.666666666668</v>
      </c>
      <c r="H23" s="710">
        <f t="shared" si="5"/>
        <v>1945</v>
      </c>
      <c r="I23" s="710">
        <f t="shared" si="5"/>
        <v>20833.333333333336</v>
      </c>
      <c r="J23" s="710">
        <f t="shared" si="5"/>
        <v>2955</v>
      </c>
      <c r="K23" s="710">
        <f t="shared" si="5"/>
        <v>31250</v>
      </c>
      <c r="L23" s="710">
        <f t="shared" si="5"/>
        <v>4220</v>
      </c>
      <c r="M23" s="710">
        <f t="shared" si="5"/>
        <v>0</v>
      </c>
      <c r="N23" s="710">
        <f t="shared" si="5"/>
        <v>0</v>
      </c>
      <c r="O23" s="710">
        <f t="shared" si="5"/>
        <v>0</v>
      </c>
      <c r="P23" s="710">
        <f t="shared" si="5"/>
        <v>0</v>
      </c>
      <c r="Q23" s="710">
        <f t="shared" si="5"/>
        <v>0</v>
      </c>
      <c r="R23" s="710">
        <f t="shared" si="5"/>
        <v>0</v>
      </c>
      <c r="S23" s="710">
        <f t="shared" si="5"/>
        <v>0</v>
      </c>
      <c r="T23" s="710">
        <f t="shared" si="5"/>
        <v>0</v>
      </c>
      <c r="U23" s="710">
        <f t="shared" si="5"/>
        <v>0</v>
      </c>
      <c r="V23" s="710">
        <f t="shared" si="5"/>
        <v>0</v>
      </c>
      <c r="W23" s="710">
        <f t="shared" si="5"/>
        <v>0</v>
      </c>
      <c r="X23" s="710">
        <f t="shared" si="5"/>
        <v>0</v>
      </c>
    </row>
    <row r="24" spans="1:24" x14ac:dyDescent="0.2">
      <c r="A24" s="378" t="s">
        <v>808</v>
      </c>
      <c r="B24" s="378" t="s">
        <v>808</v>
      </c>
      <c r="C24" s="691" t="s">
        <v>14</v>
      </c>
      <c r="D24" s="711">
        <v>560000</v>
      </c>
      <c r="E24" s="712">
        <v>578722.64</v>
      </c>
      <c r="F24" s="713">
        <v>560000</v>
      </c>
      <c r="G24" s="689">
        <f>F24*1/12</f>
        <v>46666.666666666664</v>
      </c>
      <c r="H24" s="395">
        <v>255005.45</v>
      </c>
      <c r="I24" s="700">
        <f>F24*2/12</f>
        <v>93333.333333333328</v>
      </c>
      <c r="J24" s="395">
        <v>455812.12</v>
      </c>
      <c r="K24" s="700">
        <f>F24*3/12</f>
        <v>140000</v>
      </c>
      <c r="L24" s="395">
        <v>487889.83</v>
      </c>
      <c r="M24" s="412"/>
      <c r="N24" s="412"/>
      <c r="O24" s="413"/>
      <c r="P24" s="413"/>
      <c r="Q24" s="412"/>
      <c r="R24" s="413"/>
      <c r="S24" s="413"/>
      <c r="T24" s="412"/>
      <c r="U24" s="412"/>
      <c r="V24" s="412"/>
      <c r="W24" s="714"/>
      <c r="X24" s="715"/>
    </row>
    <row r="25" spans="1:24" x14ac:dyDescent="0.2">
      <c r="A25" s="378" t="s">
        <v>97</v>
      </c>
      <c r="B25" s="378" t="s">
        <v>97</v>
      </c>
      <c r="C25" s="691" t="s">
        <v>809</v>
      </c>
      <c r="D25" s="716">
        <v>0</v>
      </c>
      <c r="E25" s="717">
        <v>0</v>
      </c>
      <c r="F25" s="718">
        <v>0</v>
      </c>
      <c r="G25" s="689">
        <f>F25*1/12</f>
        <v>0</v>
      </c>
      <c r="H25" s="395">
        <v>0</v>
      </c>
      <c r="I25" s="700">
        <v>0</v>
      </c>
      <c r="J25" s="395">
        <v>0</v>
      </c>
      <c r="K25" s="700">
        <f t="shared" ref="K25:K27" si="6">F25*3/12</f>
        <v>0</v>
      </c>
      <c r="L25" s="395">
        <v>0</v>
      </c>
      <c r="M25" s="395"/>
      <c r="N25" s="395"/>
      <c r="O25" s="395"/>
      <c r="P25" s="395"/>
      <c r="Q25" s="395"/>
      <c r="R25" s="395"/>
      <c r="S25" s="395"/>
      <c r="T25" s="395"/>
      <c r="U25" s="395"/>
      <c r="V25" s="395"/>
      <c r="W25" s="395"/>
      <c r="X25" s="395"/>
    </row>
    <row r="26" spans="1:24" x14ac:dyDescent="0.2">
      <c r="A26" s="378" t="s">
        <v>102</v>
      </c>
      <c r="B26" s="378" t="s">
        <v>102</v>
      </c>
      <c r="C26" s="691" t="s">
        <v>810</v>
      </c>
      <c r="D26" s="716">
        <v>195000</v>
      </c>
      <c r="E26" s="717">
        <v>195000</v>
      </c>
      <c r="F26" s="718">
        <v>195000</v>
      </c>
      <c r="G26" s="689">
        <v>0</v>
      </c>
      <c r="H26" s="395">
        <v>0</v>
      </c>
      <c r="I26" s="700">
        <v>0</v>
      </c>
      <c r="J26" s="395">
        <v>0</v>
      </c>
      <c r="K26" s="700">
        <f t="shared" si="6"/>
        <v>48750</v>
      </c>
      <c r="L26" s="395">
        <v>0</v>
      </c>
      <c r="M26" s="395"/>
      <c r="N26" s="395"/>
      <c r="O26" s="395"/>
      <c r="P26" s="395"/>
      <c r="Q26" s="395"/>
      <c r="R26" s="395"/>
      <c r="S26" s="395"/>
      <c r="T26" s="395"/>
      <c r="U26" s="395"/>
      <c r="V26" s="412"/>
      <c r="W26" s="395"/>
      <c r="X26" s="395"/>
    </row>
    <row r="27" spans="1:24" x14ac:dyDescent="0.2">
      <c r="A27" s="378" t="s">
        <v>106</v>
      </c>
      <c r="B27" s="378" t="s">
        <v>106</v>
      </c>
      <c r="C27" s="691" t="s">
        <v>811</v>
      </c>
      <c r="D27" s="719">
        <v>600000</v>
      </c>
      <c r="E27" s="720">
        <v>625360.34</v>
      </c>
      <c r="F27" s="721">
        <v>600000</v>
      </c>
      <c r="G27" s="713">
        <f>F27*1/12</f>
        <v>50000</v>
      </c>
      <c r="H27" s="395">
        <v>285497.78000000003</v>
      </c>
      <c r="I27" s="700">
        <f>F27*2/12</f>
        <v>100000</v>
      </c>
      <c r="J27" s="412">
        <v>285497.78000000003</v>
      </c>
      <c r="K27" s="700">
        <f t="shared" si="6"/>
        <v>150000</v>
      </c>
      <c r="L27" s="412">
        <v>285497.78000000003</v>
      </c>
      <c r="M27" s="412"/>
      <c r="N27" s="412"/>
      <c r="O27" s="412"/>
      <c r="P27" s="412"/>
      <c r="Q27" s="412"/>
      <c r="R27" s="412"/>
      <c r="S27" s="412"/>
      <c r="T27" s="412"/>
      <c r="U27" s="412"/>
      <c r="V27" s="412"/>
      <c r="W27" s="412"/>
      <c r="X27" s="412"/>
    </row>
    <row r="28" spans="1:24" x14ac:dyDescent="0.2">
      <c r="A28" s="705"/>
      <c r="B28" s="706"/>
      <c r="C28" s="707" t="s">
        <v>812</v>
      </c>
      <c r="D28" s="708">
        <f t="shared" ref="D28:X28" si="7">SUM(D24:D27)</f>
        <v>1355000</v>
      </c>
      <c r="E28" s="722">
        <f t="shared" si="7"/>
        <v>1399082.98</v>
      </c>
      <c r="F28" s="709">
        <f t="shared" si="7"/>
        <v>1355000</v>
      </c>
      <c r="G28" s="709">
        <f t="shared" si="7"/>
        <v>96666.666666666657</v>
      </c>
      <c r="H28" s="421">
        <f t="shared" si="7"/>
        <v>540503.23</v>
      </c>
      <c r="I28" s="421">
        <f t="shared" si="7"/>
        <v>193333.33333333331</v>
      </c>
      <c r="J28" s="420">
        <f t="shared" si="7"/>
        <v>741309.9</v>
      </c>
      <c r="K28" s="420">
        <f t="shared" si="7"/>
        <v>338750</v>
      </c>
      <c r="L28" s="420">
        <f t="shared" si="7"/>
        <v>773387.6100000001</v>
      </c>
      <c r="M28" s="420">
        <f t="shared" si="7"/>
        <v>0</v>
      </c>
      <c r="N28" s="421">
        <f t="shared" si="7"/>
        <v>0</v>
      </c>
      <c r="O28" s="421">
        <f t="shared" si="7"/>
        <v>0</v>
      </c>
      <c r="P28" s="421">
        <f t="shared" si="7"/>
        <v>0</v>
      </c>
      <c r="Q28" s="420">
        <f t="shared" si="7"/>
        <v>0</v>
      </c>
      <c r="R28" s="422">
        <f t="shared" si="7"/>
        <v>0</v>
      </c>
      <c r="S28" s="422">
        <f t="shared" si="7"/>
        <v>0</v>
      </c>
      <c r="T28" s="422">
        <f t="shared" si="7"/>
        <v>0</v>
      </c>
      <c r="U28" s="422">
        <f t="shared" si="7"/>
        <v>0</v>
      </c>
      <c r="V28" s="422">
        <f t="shared" si="7"/>
        <v>0</v>
      </c>
      <c r="W28" s="422">
        <f t="shared" si="7"/>
        <v>0</v>
      </c>
      <c r="X28" s="421">
        <f t="shared" si="7"/>
        <v>0</v>
      </c>
    </row>
    <row r="29" spans="1:24" x14ac:dyDescent="0.2">
      <c r="A29" s="691"/>
      <c r="B29" s="723"/>
      <c r="C29" s="723"/>
      <c r="D29" s="716"/>
      <c r="E29" s="637"/>
      <c r="F29" s="718"/>
      <c r="G29" s="718"/>
      <c r="H29" s="724"/>
      <c r="I29" s="725"/>
      <c r="J29" s="724"/>
      <c r="K29" s="724"/>
      <c r="L29" s="724"/>
      <c r="M29" s="724"/>
      <c r="N29" s="724"/>
      <c r="O29" s="725"/>
      <c r="P29" s="725"/>
      <c r="Q29" s="725"/>
      <c r="R29" s="724"/>
      <c r="S29" s="724"/>
      <c r="T29" s="724"/>
      <c r="U29" s="724"/>
      <c r="V29" s="724"/>
      <c r="W29" s="724"/>
      <c r="X29" s="724"/>
    </row>
    <row r="30" spans="1:24" x14ac:dyDescent="0.2">
      <c r="A30" s="705"/>
      <c r="B30" s="706"/>
      <c r="C30" s="707" t="s">
        <v>813</v>
      </c>
      <c r="D30" s="428">
        <f t="shared" ref="D30:X30" si="8">D23+D28</f>
        <v>1480000</v>
      </c>
      <c r="E30" s="638">
        <f t="shared" si="8"/>
        <v>1500919.53</v>
      </c>
      <c r="F30" s="726">
        <f t="shared" si="8"/>
        <v>1480000</v>
      </c>
      <c r="G30" s="726">
        <f t="shared" si="8"/>
        <v>107083.33333333333</v>
      </c>
      <c r="H30" s="431">
        <f t="shared" si="8"/>
        <v>542448.23</v>
      </c>
      <c r="I30" s="431">
        <f t="shared" si="8"/>
        <v>214166.66666666666</v>
      </c>
      <c r="J30" s="430">
        <f t="shared" si="8"/>
        <v>744264.9</v>
      </c>
      <c r="K30" s="727">
        <f t="shared" si="8"/>
        <v>370000</v>
      </c>
      <c r="L30" s="430">
        <f t="shared" si="8"/>
        <v>777607.6100000001</v>
      </c>
      <c r="M30" s="430">
        <f t="shared" si="8"/>
        <v>0</v>
      </c>
      <c r="N30" s="431">
        <f t="shared" si="8"/>
        <v>0</v>
      </c>
      <c r="O30" s="430">
        <f t="shared" si="8"/>
        <v>0</v>
      </c>
      <c r="P30" s="430">
        <f t="shared" si="8"/>
        <v>0</v>
      </c>
      <c r="Q30" s="430">
        <f t="shared" si="8"/>
        <v>0</v>
      </c>
      <c r="R30" s="432">
        <f t="shared" si="8"/>
        <v>0</v>
      </c>
      <c r="S30" s="432">
        <f t="shared" si="8"/>
        <v>0</v>
      </c>
      <c r="T30" s="432">
        <f t="shared" si="8"/>
        <v>0</v>
      </c>
      <c r="U30" s="432">
        <f t="shared" si="8"/>
        <v>0</v>
      </c>
      <c r="V30" s="432">
        <f t="shared" si="8"/>
        <v>0</v>
      </c>
      <c r="W30" s="432">
        <f t="shared" si="8"/>
        <v>0</v>
      </c>
      <c r="X30" s="431">
        <f t="shared" si="8"/>
        <v>0</v>
      </c>
    </row>
    <row r="31" spans="1:24" x14ac:dyDescent="0.2">
      <c r="A31" s="728" t="s">
        <v>119</v>
      </c>
      <c r="B31" s="729"/>
      <c r="C31" s="730"/>
      <c r="D31" s="731"/>
      <c r="E31" s="639"/>
      <c r="F31" s="732"/>
      <c r="G31" s="732"/>
      <c r="H31" s="733"/>
      <c r="I31" s="734"/>
      <c r="J31" s="733"/>
      <c r="K31" s="733"/>
      <c r="L31" s="733"/>
      <c r="M31" s="733"/>
      <c r="N31" s="733"/>
      <c r="O31" s="733"/>
      <c r="P31" s="733"/>
      <c r="Q31" s="733"/>
      <c r="R31" s="733"/>
      <c r="S31" s="733"/>
      <c r="T31" s="733"/>
      <c r="U31" s="733"/>
      <c r="V31" s="733"/>
      <c r="W31" s="733"/>
      <c r="X31" s="733"/>
    </row>
    <row r="32" spans="1:24" x14ac:dyDescent="0.2">
      <c r="A32" s="440" t="s">
        <v>124</v>
      </c>
      <c r="B32" s="440" t="s">
        <v>124</v>
      </c>
      <c r="C32" s="735" t="s">
        <v>814</v>
      </c>
      <c r="D32" s="736">
        <v>25000</v>
      </c>
      <c r="E32" s="737">
        <v>26775</v>
      </c>
      <c r="F32" s="738">
        <v>25000</v>
      </c>
      <c r="G32" s="739">
        <f t="shared" ref="G32:G37" si="9">F32*1/12</f>
        <v>2083.3333333333335</v>
      </c>
      <c r="H32" s="445">
        <v>2275</v>
      </c>
      <c r="I32" s="740">
        <f>F32*2/12</f>
        <v>4166.666666666667</v>
      </c>
      <c r="J32" s="445">
        <v>4550</v>
      </c>
      <c r="K32" s="740">
        <f>F32*3/12</f>
        <v>6250</v>
      </c>
      <c r="L32" s="445">
        <v>6650</v>
      </c>
      <c r="M32" s="445"/>
      <c r="N32" s="445"/>
      <c r="O32" s="445"/>
      <c r="P32" s="445"/>
      <c r="Q32" s="445"/>
      <c r="R32" s="445"/>
      <c r="S32" s="445"/>
      <c r="T32" s="445"/>
      <c r="U32" s="445"/>
      <c r="V32" s="445"/>
      <c r="W32" s="455"/>
      <c r="X32" s="455"/>
    </row>
    <row r="33" spans="1:26" x14ac:dyDescent="0.2">
      <c r="A33" s="440" t="s">
        <v>125</v>
      </c>
      <c r="B33" s="440" t="s">
        <v>125</v>
      </c>
      <c r="C33" s="735" t="s">
        <v>815</v>
      </c>
      <c r="D33" s="736">
        <v>30000</v>
      </c>
      <c r="E33" s="741">
        <v>15180</v>
      </c>
      <c r="F33" s="738">
        <v>30000</v>
      </c>
      <c r="G33" s="739">
        <f t="shared" si="9"/>
        <v>2500</v>
      </c>
      <c r="H33" s="445">
        <v>400</v>
      </c>
      <c r="I33" s="740">
        <f t="shared" ref="I33:I53" si="10">F33*2/12</f>
        <v>5000</v>
      </c>
      <c r="J33" s="445">
        <v>775</v>
      </c>
      <c r="K33" s="740">
        <f t="shared" ref="K33:K37" si="11">F33*3/12</f>
        <v>7500</v>
      </c>
      <c r="L33" s="445">
        <v>1815</v>
      </c>
      <c r="M33" s="445"/>
      <c r="N33" s="445"/>
      <c r="O33" s="445"/>
      <c r="P33" s="445"/>
      <c r="Q33" s="445"/>
      <c r="R33" s="447"/>
      <c r="S33" s="447"/>
      <c r="T33" s="447"/>
      <c r="U33" s="447"/>
      <c r="V33" s="447"/>
      <c r="W33" s="447"/>
      <c r="X33" s="447"/>
    </row>
    <row r="34" spans="1:26" x14ac:dyDescent="0.2">
      <c r="A34" s="440" t="s">
        <v>126</v>
      </c>
      <c r="B34" s="440" t="s">
        <v>126</v>
      </c>
      <c r="C34" s="735" t="s">
        <v>816</v>
      </c>
      <c r="D34" s="736">
        <v>25000</v>
      </c>
      <c r="E34" s="741">
        <v>19640</v>
      </c>
      <c r="F34" s="738">
        <v>25000</v>
      </c>
      <c r="G34" s="739">
        <f t="shared" si="9"/>
        <v>2083.3333333333335</v>
      </c>
      <c r="H34" s="445">
        <v>0</v>
      </c>
      <c r="I34" s="740">
        <f t="shared" si="10"/>
        <v>4166.666666666667</v>
      </c>
      <c r="J34" s="445">
        <v>700</v>
      </c>
      <c r="K34" s="740">
        <f t="shared" si="11"/>
        <v>6250</v>
      </c>
      <c r="L34" s="445">
        <v>1200</v>
      </c>
      <c r="M34" s="445"/>
      <c r="N34" s="445"/>
      <c r="O34" s="445"/>
      <c r="P34" s="445"/>
      <c r="Q34" s="445"/>
      <c r="R34" s="447"/>
      <c r="S34" s="447"/>
      <c r="T34" s="447"/>
      <c r="U34" s="447"/>
      <c r="V34" s="447"/>
      <c r="W34" s="447"/>
      <c r="X34" s="447"/>
    </row>
    <row r="35" spans="1:26" x14ac:dyDescent="0.2">
      <c r="A35" s="440" t="s">
        <v>127</v>
      </c>
      <c r="B35" s="440" t="s">
        <v>127</v>
      </c>
      <c r="C35" s="735" t="s">
        <v>817</v>
      </c>
      <c r="D35" s="736">
        <v>500</v>
      </c>
      <c r="E35" s="741">
        <v>180</v>
      </c>
      <c r="F35" s="738">
        <v>500</v>
      </c>
      <c r="G35" s="739">
        <f t="shared" si="9"/>
        <v>41.666666666666664</v>
      </c>
      <c r="H35" s="445">
        <v>0</v>
      </c>
      <c r="I35" s="740">
        <f t="shared" si="10"/>
        <v>83.333333333333329</v>
      </c>
      <c r="J35" s="445">
        <v>0</v>
      </c>
      <c r="K35" s="740">
        <f t="shared" si="11"/>
        <v>125</v>
      </c>
      <c r="L35" s="445">
        <v>0</v>
      </c>
      <c r="M35" s="445"/>
      <c r="N35" s="445"/>
      <c r="O35" s="445"/>
      <c r="P35" s="445"/>
      <c r="Q35" s="445"/>
      <c r="R35" s="447"/>
      <c r="S35" s="447"/>
      <c r="T35" s="447"/>
      <c r="U35" s="447"/>
      <c r="V35" s="447"/>
      <c r="W35" s="447"/>
      <c r="X35" s="447"/>
    </row>
    <row r="36" spans="1:26" x14ac:dyDescent="0.2">
      <c r="A36" s="440" t="s">
        <v>129</v>
      </c>
      <c r="B36" s="440" t="s">
        <v>129</v>
      </c>
      <c r="C36" s="735" t="s">
        <v>818</v>
      </c>
      <c r="D36" s="736">
        <v>13500</v>
      </c>
      <c r="E36" s="741">
        <v>10765</v>
      </c>
      <c r="F36" s="738">
        <v>13500</v>
      </c>
      <c r="G36" s="739">
        <f t="shared" si="9"/>
        <v>1125</v>
      </c>
      <c r="H36" s="445">
        <v>480</v>
      </c>
      <c r="I36" s="740">
        <f t="shared" si="10"/>
        <v>2250</v>
      </c>
      <c r="J36" s="445">
        <v>1415</v>
      </c>
      <c r="K36" s="740">
        <f t="shared" si="11"/>
        <v>3375</v>
      </c>
      <c r="L36" s="445">
        <v>2255</v>
      </c>
      <c r="M36" s="445"/>
      <c r="N36" s="445"/>
      <c r="O36" s="445"/>
      <c r="P36" s="445"/>
      <c r="Q36" s="445"/>
      <c r="R36" s="447"/>
      <c r="S36" s="447"/>
      <c r="T36" s="447"/>
      <c r="U36" s="447"/>
      <c r="V36" s="447"/>
      <c r="W36" s="447"/>
      <c r="X36" s="447"/>
    </row>
    <row r="37" spans="1:26" x14ac:dyDescent="0.2">
      <c r="A37" s="440" t="s">
        <v>819</v>
      </c>
      <c r="B37" s="440" t="s">
        <v>127</v>
      </c>
      <c r="C37" s="735" t="s">
        <v>820</v>
      </c>
      <c r="D37" s="736">
        <v>300</v>
      </c>
      <c r="E37" s="741">
        <v>0</v>
      </c>
      <c r="F37" s="738">
        <v>300</v>
      </c>
      <c r="G37" s="739">
        <f t="shared" si="9"/>
        <v>25</v>
      </c>
      <c r="H37" s="445">
        <v>0</v>
      </c>
      <c r="I37" s="740">
        <f t="shared" si="10"/>
        <v>50</v>
      </c>
      <c r="J37" s="445">
        <v>0</v>
      </c>
      <c r="K37" s="740">
        <f t="shared" si="11"/>
        <v>75</v>
      </c>
      <c r="L37" s="445">
        <v>0</v>
      </c>
      <c r="M37" s="445"/>
      <c r="N37" s="445"/>
      <c r="O37" s="445"/>
      <c r="P37" s="445"/>
      <c r="Q37" s="445"/>
      <c r="R37" s="447"/>
      <c r="S37" s="447"/>
      <c r="T37" s="447"/>
      <c r="U37" s="447"/>
      <c r="V37" s="447"/>
      <c r="W37" s="447"/>
      <c r="X37" s="447"/>
    </row>
    <row r="38" spans="1:26" x14ac:dyDescent="0.2">
      <c r="A38" s="448" t="s">
        <v>821</v>
      </c>
      <c r="B38" s="448"/>
      <c r="C38" s="742" t="s">
        <v>822</v>
      </c>
      <c r="D38" s="743"/>
      <c r="E38" s="744"/>
      <c r="F38" s="745"/>
      <c r="G38" s="745"/>
      <c r="H38" s="453"/>
      <c r="I38" s="453"/>
      <c r="J38" s="453"/>
      <c r="K38" s="457"/>
      <c r="L38" s="453"/>
      <c r="M38" s="453"/>
      <c r="N38" s="453"/>
      <c r="O38" s="453"/>
      <c r="P38" s="453"/>
      <c r="Q38" s="453"/>
      <c r="R38" s="454"/>
      <c r="S38" s="454"/>
      <c r="T38" s="454"/>
      <c r="U38" s="454"/>
      <c r="V38" s="454"/>
      <c r="W38" s="454"/>
      <c r="X38" s="454"/>
    </row>
    <row r="39" spans="1:26" x14ac:dyDescent="0.2">
      <c r="A39" s="448" t="s">
        <v>823</v>
      </c>
      <c r="B39" s="448"/>
      <c r="C39" s="742" t="s">
        <v>824</v>
      </c>
      <c r="D39" s="743"/>
      <c r="E39" s="744"/>
      <c r="F39" s="745"/>
      <c r="G39" s="745"/>
      <c r="H39" s="453"/>
      <c r="I39" s="453"/>
      <c r="J39" s="453"/>
      <c r="K39" s="457"/>
      <c r="L39" s="453"/>
      <c r="M39" s="453"/>
      <c r="N39" s="453"/>
      <c r="O39" s="453"/>
      <c r="P39" s="453"/>
      <c r="Q39" s="453"/>
      <c r="R39" s="454"/>
      <c r="S39" s="454"/>
      <c r="T39" s="454"/>
      <c r="U39" s="454"/>
      <c r="V39" s="454"/>
      <c r="W39" s="454"/>
      <c r="X39" s="454"/>
    </row>
    <row r="40" spans="1:26" x14ac:dyDescent="0.2">
      <c r="A40" s="440" t="s">
        <v>155</v>
      </c>
      <c r="B40" s="440" t="s">
        <v>154</v>
      </c>
      <c r="C40" s="735" t="s">
        <v>825</v>
      </c>
      <c r="D40" s="736">
        <v>63000</v>
      </c>
      <c r="E40" s="737">
        <v>68187</v>
      </c>
      <c r="F40" s="738">
        <v>63000</v>
      </c>
      <c r="G40" s="739">
        <f>F40*1/12</f>
        <v>5250</v>
      </c>
      <c r="H40" s="445">
        <v>5988</v>
      </c>
      <c r="I40" s="740">
        <f t="shared" si="10"/>
        <v>10500</v>
      </c>
      <c r="J40" s="445">
        <v>11676</v>
      </c>
      <c r="K40" s="740">
        <f>F40*3/12</f>
        <v>15750</v>
      </c>
      <c r="L40" s="445">
        <v>16930.2</v>
      </c>
      <c r="M40" s="445"/>
      <c r="N40" s="445"/>
      <c r="O40" s="445"/>
      <c r="P40" s="445"/>
      <c r="Q40" s="445"/>
      <c r="R40" s="447"/>
      <c r="S40" s="447"/>
      <c r="T40" s="447"/>
      <c r="U40" s="447"/>
      <c r="V40" s="447"/>
      <c r="W40" s="455"/>
      <c r="X40" s="455"/>
    </row>
    <row r="41" spans="1:26" x14ac:dyDescent="0.2">
      <c r="A41" s="440" t="s">
        <v>160</v>
      </c>
      <c r="B41" s="440" t="s">
        <v>154</v>
      </c>
      <c r="C41" s="735" t="s">
        <v>826</v>
      </c>
      <c r="D41" s="736">
        <v>19000</v>
      </c>
      <c r="E41" s="737">
        <v>21331.89</v>
      </c>
      <c r="F41" s="738">
        <v>19000</v>
      </c>
      <c r="G41" s="739">
        <f>F41*1/12</f>
        <v>1583.3333333333333</v>
      </c>
      <c r="H41" s="445">
        <v>1816.51</v>
      </c>
      <c r="I41" s="740">
        <f t="shared" si="10"/>
        <v>3166.6666666666665</v>
      </c>
      <c r="J41" s="445">
        <v>3353.87</v>
      </c>
      <c r="K41" s="740">
        <f t="shared" ref="K41:K54" si="12">F41*3/12</f>
        <v>4750</v>
      </c>
      <c r="L41" s="445">
        <v>3353.87</v>
      </c>
      <c r="M41" s="445"/>
      <c r="N41" s="445"/>
      <c r="O41" s="445"/>
      <c r="P41" s="445"/>
      <c r="Q41" s="445"/>
      <c r="R41" s="447"/>
      <c r="S41" s="447"/>
      <c r="T41" s="447"/>
      <c r="U41" s="447"/>
      <c r="V41" s="455"/>
      <c r="W41" s="455"/>
      <c r="X41" s="455"/>
    </row>
    <row r="42" spans="1:26" x14ac:dyDescent="0.2">
      <c r="A42" s="440" t="s">
        <v>827</v>
      </c>
      <c r="B42" s="440" t="s">
        <v>154</v>
      </c>
      <c r="C42" s="735" t="s">
        <v>828</v>
      </c>
      <c r="D42" s="736">
        <v>200</v>
      </c>
      <c r="E42" s="741">
        <v>0</v>
      </c>
      <c r="F42" s="738">
        <v>200</v>
      </c>
      <c r="G42" s="739">
        <f>F42*1/12</f>
        <v>16.666666666666668</v>
      </c>
      <c r="H42" s="445">
        <v>0</v>
      </c>
      <c r="I42" s="740">
        <f t="shared" si="10"/>
        <v>33.333333333333336</v>
      </c>
      <c r="J42" s="445">
        <v>0</v>
      </c>
      <c r="K42" s="740">
        <f t="shared" si="12"/>
        <v>50</v>
      </c>
      <c r="L42" s="445">
        <v>0</v>
      </c>
      <c r="M42" s="445"/>
      <c r="N42" s="445"/>
      <c r="O42" s="445"/>
      <c r="P42" s="445"/>
      <c r="Q42" s="445"/>
      <c r="R42" s="447"/>
      <c r="S42" s="447"/>
      <c r="T42" s="447"/>
      <c r="U42" s="447"/>
      <c r="V42" s="447"/>
      <c r="W42" s="447"/>
      <c r="X42" s="447"/>
    </row>
    <row r="43" spans="1:26" x14ac:dyDescent="0.2">
      <c r="A43" s="440" t="s">
        <v>163</v>
      </c>
      <c r="B43" s="440" t="s">
        <v>152</v>
      </c>
      <c r="C43" s="735" t="s">
        <v>164</v>
      </c>
      <c r="D43" s="736">
        <v>185</v>
      </c>
      <c r="E43" s="737">
        <v>191.51</v>
      </c>
      <c r="F43" s="738">
        <v>185</v>
      </c>
      <c r="G43" s="739">
        <f>F43*1/12</f>
        <v>15.416666666666666</v>
      </c>
      <c r="H43" s="445">
        <v>0</v>
      </c>
      <c r="I43" s="740">
        <f t="shared" si="10"/>
        <v>30.833333333333332</v>
      </c>
      <c r="J43" s="445">
        <v>0</v>
      </c>
      <c r="K43" s="740">
        <f t="shared" si="12"/>
        <v>46.25</v>
      </c>
      <c r="L43" s="445">
        <v>0</v>
      </c>
      <c r="M43" s="445"/>
      <c r="N43" s="445"/>
      <c r="O43" s="445"/>
      <c r="P43" s="445"/>
      <c r="Q43" s="445"/>
      <c r="R43" s="455"/>
      <c r="S43" s="455"/>
      <c r="T43" s="455"/>
      <c r="U43" s="455"/>
      <c r="V43" s="455"/>
      <c r="W43" s="455"/>
      <c r="X43" s="455"/>
    </row>
    <row r="44" spans="1:26" s="367" customFormat="1" x14ac:dyDescent="0.2">
      <c r="A44" s="448" t="s">
        <v>829</v>
      </c>
      <c r="B44" s="448"/>
      <c r="C44" s="742" t="s">
        <v>830</v>
      </c>
      <c r="D44" s="743"/>
      <c r="E44" s="746"/>
      <c r="F44" s="745"/>
      <c r="G44" s="745"/>
      <c r="H44" s="457"/>
      <c r="I44" s="453"/>
      <c r="J44" s="457"/>
      <c r="K44" s="457"/>
      <c r="L44" s="457"/>
      <c r="M44" s="457"/>
      <c r="N44" s="457"/>
      <c r="O44" s="457"/>
      <c r="P44" s="457"/>
      <c r="Q44" s="457"/>
      <c r="R44" s="458"/>
      <c r="S44" s="458"/>
      <c r="T44" s="458"/>
      <c r="U44" s="458"/>
      <c r="V44" s="458"/>
      <c r="W44" s="458"/>
      <c r="X44" s="458"/>
      <c r="Y44" s="365"/>
      <c r="Z44" s="366"/>
    </row>
    <row r="45" spans="1:26" x14ac:dyDescent="0.2">
      <c r="A45" s="440" t="s">
        <v>831</v>
      </c>
      <c r="B45" s="440" t="s">
        <v>152</v>
      </c>
      <c r="C45" s="735" t="s">
        <v>574</v>
      </c>
      <c r="D45" s="736">
        <v>92500</v>
      </c>
      <c r="E45" s="741">
        <v>90530.79</v>
      </c>
      <c r="F45" s="738">
        <v>92500</v>
      </c>
      <c r="G45" s="739">
        <f t="shared" ref="G45:G50" si="13">F45*1/12</f>
        <v>7708.333333333333</v>
      </c>
      <c r="H45" s="447">
        <v>7380.67</v>
      </c>
      <c r="I45" s="740">
        <f t="shared" si="10"/>
        <v>15416.666666666666</v>
      </c>
      <c r="J45" s="447">
        <v>16443.93</v>
      </c>
      <c r="K45" s="740">
        <f t="shared" si="12"/>
        <v>23125</v>
      </c>
      <c r="L45" s="447">
        <v>22332.21</v>
      </c>
      <c r="M45" s="447"/>
      <c r="N45" s="447"/>
      <c r="O45" s="447"/>
      <c r="P45" s="447"/>
      <c r="Q45" s="447"/>
      <c r="R45" s="447"/>
      <c r="S45" s="447"/>
      <c r="T45" s="447"/>
      <c r="U45" s="447"/>
      <c r="V45" s="447"/>
      <c r="W45" s="447"/>
      <c r="X45" s="447"/>
    </row>
    <row r="46" spans="1:26" x14ac:dyDescent="0.2">
      <c r="A46" s="440" t="s">
        <v>171</v>
      </c>
      <c r="B46" s="440" t="s">
        <v>152</v>
      </c>
      <c r="C46" s="735" t="s">
        <v>832</v>
      </c>
      <c r="D46" s="736">
        <v>26000</v>
      </c>
      <c r="E46" s="741">
        <v>20905.61</v>
      </c>
      <c r="F46" s="738">
        <v>26000</v>
      </c>
      <c r="G46" s="739">
        <f t="shared" si="13"/>
        <v>2166.6666666666665</v>
      </c>
      <c r="H46" s="447">
        <v>2262.1</v>
      </c>
      <c r="I46" s="740">
        <f t="shared" si="10"/>
        <v>4333.333333333333</v>
      </c>
      <c r="J46" s="447">
        <v>4128.1000000000004</v>
      </c>
      <c r="K46" s="740">
        <f t="shared" si="12"/>
        <v>6500</v>
      </c>
      <c r="L46" s="447">
        <v>7815.69</v>
      </c>
      <c r="M46" s="447"/>
      <c r="N46" s="447"/>
      <c r="O46" s="447"/>
      <c r="P46" s="447"/>
      <c r="Q46" s="447"/>
      <c r="R46" s="447"/>
      <c r="S46" s="447"/>
      <c r="T46" s="447"/>
      <c r="U46" s="447"/>
      <c r="V46" s="447"/>
      <c r="W46" s="447"/>
      <c r="X46" s="447"/>
    </row>
    <row r="47" spans="1:26" x14ac:dyDescent="0.2">
      <c r="A47" s="440" t="s">
        <v>833</v>
      </c>
      <c r="B47" s="440" t="s">
        <v>152</v>
      </c>
      <c r="C47" s="735" t="s">
        <v>575</v>
      </c>
      <c r="D47" s="736">
        <v>73000</v>
      </c>
      <c r="E47" s="741">
        <v>63085.8</v>
      </c>
      <c r="F47" s="738">
        <v>73000</v>
      </c>
      <c r="G47" s="739">
        <f t="shared" si="13"/>
        <v>6083.333333333333</v>
      </c>
      <c r="H47" s="447">
        <v>5328.13</v>
      </c>
      <c r="I47" s="740">
        <f t="shared" si="10"/>
        <v>12166.666666666666</v>
      </c>
      <c r="J47" s="447">
        <v>10785.98</v>
      </c>
      <c r="K47" s="740">
        <f t="shared" si="12"/>
        <v>18250</v>
      </c>
      <c r="L47" s="447">
        <v>10785.98</v>
      </c>
      <c r="M47" s="447"/>
      <c r="N47" s="447"/>
      <c r="O47" s="447"/>
      <c r="P47" s="447"/>
      <c r="Q47" s="447"/>
      <c r="R47" s="447"/>
      <c r="S47" s="447"/>
      <c r="T47" s="447"/>
      <c r="U47" s="447"/>
      <c r="V47" s="447"/>
      <c r="W47" s="447"/>
      <c r="X47" s="447"/>
    </row>
    <row r="48" spans="1:26" x14ac:dyDescent="0.2">
      <c r="A48" s="440" t="s">
        <v>177</v>
      </c>
      <c r="B48" s="440" t="s">
        <v>152</v>
      </c>
      <c r="C48" s="735" t="s">
        <v>834</v>
      </c>
      <c r="D48" s="736">
        <v>14500</v>
      </c>
      <c r="E48" s="741">
        <v>12261.25</v>
      </c>
      <c r="F48" s="738">
        <v>14500</v>
      </c>
      <c r="G48" s="739">
        <f t="shared" si="13"/>
        <v>1208.3333333333333</v>
      </c>
      <c r="H48" s="447">
        <v>988.46</v>
      </c>
      <c r="I48" s="740">
        <f t="shared" si="10"/>
        <v>2416.6666666666665</v>
      </c>
      <c r="J48" s="447">
        <v>2351.02</v>
      </c>
      <c r="K48" s="740">
        <f t="shared" si="12"/>
        <v>3625</v>
      </c>
      <c r="L48" s="447">
        <v>2351.02</v>
      </c>
      <c r="M48" s="447"/>
      <c r="N48" s="447"/>
      <c r="O48" s="447"/>
      <c r="P48" s="447"/>
      <c r="Q48" s="447"/>
      <c r="R48" s="447"/>
      <c r="S48" s="447"/>
      <c r="T48" s="447"/>
      <c r="U48" s="447"/>
      <c r="V48" s="447"/>
      <c r="W48" s="447"/>
      <c r="X48" s="447"/>
    </row>
    <row r="49" spans="1:26" x14ac:dyDescent="0.2">
      <c r="A49" s="440" t="s">
        <v>835</v>
      </c>
      <c r="B49" s="440" t="s">
        <v>152</v>
      </c>
      <c r="C49" s="735" t="s">
        <v>836</v>
      </c>
      <c r="D49" s="736">
        <v>200</v>
      </c>
      <c r="E49" s="741">
        <v>0</v>
      </c>
      <c r="F49" s="738">
        <v>200</v>
      </c>
      <c r="G49" s="739">
        <f t="shared" si="13"/>
        <v>16.666666666666668</v>
      </c>
      <c r="H49" s="447">
        <v>0</v>
      </c>
      <c r="I49" s="740">
        <f t="shared" si="10"/>
        <v>33.333333333333336</v>
      </c>
      <c r="J49" s="447">
        <v>0</v>
      </c>
      <c r="K49" s="740">
        <f t="shared" si="12"/>
        <v>50</v>
      </c>
      <c r="L49" s="447">
        <v>0</v>
      </c>
      <c r="M49" s="447"/>
      <c r="N49" s="447"/>
      <c r="O49" s="447"/>
      <c r="P49" s="447"/>
      <c r="Q49" s="447"/>
      <c r="R49" s="447"/>
      <c r="S49" s="447"/>
      <c r="T49" s="447"/>
      <c r="U49" s="447"/>
      <c r="V49" s="447"/>
      <c r="W49" s="447"/>
      <c r="X49" s="447"/>
    </row>
    <row r="50" spans="1:26" x14ac:dyDescent="0.2">
      <c r="A50" s="440" t="s">
        <v>180</v>
      </c>
      <c r="B50" s="440" t="s">
        <v>152</v>
      </c>
      <c r="C50" s="735" t="s">
        <v>181</v>
      </c>
      <c r="D50" s="736">
        <v>500</v>
      </c>
      <c r="E50" s="741">
        <v>457.09</v>
      </c>
      <c r="F50" s="738">
        <v>500</v>
      </c>
      <c r="G50" s="739">
        <f t="shared" si="13"/>
        <v>41.666666666666664</v>
      </c>
      <c r="H50" s="447">
        <v>0</v>
      </c>
      <c r="I50" s="740">
        <f t="shared" si="10"/>
        <v>83.333333333333329</v>
      </c>
      <c r="J50" s="447">
        <v>0</v>
      </c>
      <c r="K50" s="740">
        <f t="shared" si="12"/>
        <v>125</v>
      </c>
      <c r="L50" s="447">
        <v>0</v>
      </c>
      <c r="M50" s="447"/>
      <c r="N50" s="447"/>
      <c r="O50" s="447"/>
      <c r="P50" s="447"/>
      <c r="Q50" s="447"/>
      <c r="R50" s="447"/>
      <c r="S50" s="447"/>
      <c r="T50" s="447"/>
      <c r="U50" s="447"/>
      <c r="V50" s="447"/>
      <c r="W50" s="447"/>
      <c r="X50" s="747"/>
    </row>
    <row r="51" spans="1:26" s="367" customFormat="1" x14ac:dyDescent="0.2">
      <c r="A51" s="448" t="s">
        <v>837</v>
      </c>
      <c r="B51" s="448"/>
      <c r="C51" s="742" t="s">
        <v>838</v>
      </c>
      <c r="D51" s="743"/>
      <c r="E51" s="746"/>
      <c r="F51" s="745"/>
      <c r="G51" s="745"/>
      <c r="H51" s="457"/>
      <c r="I51" s="453"/>
      <c r="J51" s="457"/>
      <c r="K51" s="457"/>
      <c r="L51" s="457"/>
      <c r="M51" s="457"/>
      <c r="N51" s="457"/>
      <c r="O51" s="457"/>
      <c r="P51" s="457"/>
      <c r="Q51" s="457"/>
      <c r="R51" s="458"/>
      <c r="S51" s="458"/>
      <c r="T51" s="458"/>
      <c r="U51" s="458"/>
      <c r="V51" s="458"/>
      <c r="W51" s="458"/>
      <c r="X51" s="458"/>
      <c r="Y51" s="365"/>
      <c r="Z51" s="366"/>
    </row>
    <row r="52" spans="1:26" x14ac:dyDescent="0.2">
      <c r="A52" s="440" t="s">
        <v>839</v>
      </c>
      <c r="B52" s="440" t="s">
        <v>1279</v>
      </c>
      <c r="C52" s="735" t="s">
        <v>840</v>
      </c>
      <c r="D52" s="736">
        <v>0</v>
      </c>
      <c r="E52" s="741">
        <v>0</v>
      </c>
      <c r="F52" s="738">
        <v>0</v>
      </c>
      <c r="G52" s="739">
        <f>F52*1/12</f>
        <v>0</v>
      </c>
      <c r="H52" s="445">
        <v>0</v>
      </c>
      <c r="I52" s="740">
        <f t="shared" si="10"/>
        <v>0</v>
      </c>
      <c r="J52" s="445">
        <v>0</v>
      </c>
      <c r="K52" s="740">
        <f t="shared" si="12"/>
        <v>0</v>
      </c>
      <c r="L52" s="445">
        <v>0</v>
      </c>
      <c r="M52" s="445"/>
      <c r="N52" s="445"/>
      <c r="O52" s="445"/>
      <c r="P52" s="445"/>
      <c r="Q52" s="445"/>
      <c r="R52" s="447"/>
      <c r="S52" s="447"/>
      <c r="T52" s="447"/>
      <c r="U52" s="447"/>
      <c r="V52" s="447"/>
      <c r="W52" s="447"/>
      <c r="X52" s="447"/>
    </row>
    <row r="53" spans="1:26" x14ac:dyDescent="0.2">
      <c r="A53" s="440" t="s">
        <v>841</v>
      </c>
      <c r="B53" s="440" t="s">
        <v>154</v>
      </c>
      <c r="C53" s="735" t="s">
        <v>158</v>
      </c>
      <c r="D53" s="736">
        <v>0</v>
      </c>
      <c r="E53" s="741">
        <v>0</v>
      </c>
      <c r="F53" s="738">
        <v>0</v>
      </c>
      <c r="G53" s="739">
        <f>F53*1/12</f>
        <v>0</v>
      </c>
      <c r="H53" s="445">
        <v>0</v>
      </c>
      <c r="I53" s="740">
        <f t="shared" si="10"/>
        <v>0</v>
      </c>
      <c r="J53" s="445">
        <v>0</v>
      </c>
      <c r="K53" s="740">
        <f t="shared" si="12"/>
        <v>0</v>
      </c>
      <c r="L53" s="445">
        <v>0</v>
      </c>
      <c r="M53" s="445"/>
      <c r="N53" s="445"/>
      <c r="O53" s="445"/>
      <c r="P53" s="445"/>
      <c r="Q53" s="445"/>
      <c r="R53" s="447"/>
      <c r="S53" s="447"/>
      <c r="T53" s="447"/>
      <c r="U53" s="447"/>
      <c r="V53" s="447"/>
      <c r="W53" s="447"/>
      <c r="X53" s="447"/>
    </row>
    <row r="54" spans="1:26" x14ac:dyDescent="0.2">
      <c r="A54" s="459" t="s">
        <v>165</v>
      </c>
      <c r="B54" s="459" t="s">
        <v>306</v>
      </c>
      <c r="C54" s="748" t="s">
        <v>842</v>
      </c>
      <c r="D54" s="743">
        <v>0</v>
      </c>
      <c r="E54" s="744">
        <v>0</v>
      </c>
      <c r="F54" s="745">
        <v>0</v>
      </c>
      <c r="G54" s="749">
        <f>F54*1/12</f>
        <v>0</v>
      </c>
      <c r="H54" s="453">
        <v>0</v>
      </c>
      <c r="I54" s="749">
        <f>F54*2/12</f>
        <v>0</v>
      </c>
      <c r="J54" s="453">
        <v>0</v>
      </c>
      <c r="K54" s="740">
        <f t="shared" si="12"/>
        <v>0</v>
      </c>
      <c r="L54" s="453">
        <v>0</v>
      </c>
      <c r="M54" s="453"/>
      <c r="N54" s="453"/>
      <c r="O54" s="453"/>
      <c r="P54" s="453"/>
      <c r="Q54" s="453"/>
      <c r="R54" s="454"/>
      <c r="S54" s="454"/>
      <c r="T54" s="454"/>
      <c r="U54" s="454"/>
      <c r="V54" s="454"/>
      <c r="W54" s="454"/>
      <c r="X54" s="454"/>
    </row>
    <row r="55" spans="1:26" x14ac:dyDescent="0.2">
      <c r="A55" s="461"/>
      <c r="B55" s="461"/>
      <c r="C55" s="462" t="s">
        <v>843</v>
      </c>
      <c r="D55" s="731">
        <f t="shared" ref="D55:X55" si="14">SUM(D32:D54)</f>
        <v>383385</v>
      </c>
      <c r="E55" s="750">
        <f t="shared" si="14"/>
        <v>349490.94</v>
      </c>
      <c r="F55" s="732">
        <f t="shared" si="14"/>
        <v>383385</v>
      </c>
      <c r="G55" s="732">
        <f t="shared" si="14"/>
        <v>31948.750000000004</v>
      </c>
      <c r="H55" s="464">
        <f t="shared" si="14"/>
        <v>26918.87</v>
      </c>
      <c r="I55" s="464">
        <f t="shared" si="14"/>
        <v>63897.500000000007</v>
      </c>
      <c r="J55" s="464">
        <f t="shared" si="14"/>
        <v>56178.9</v>
      </c>
      <c r="K55" s="464">
        <f t="shared" si="14"/>
        <v>95846.25</v>
      </c>
      <c r="L55" s="464">
        <f t="shared" si="14"/>
        <v>75488.97</v>
      </c>
      <c r="M55" s="464">
        <f t="shared" si="14"/>
        <v>0</v>
      </c>
      <c r="N55" s="464">
        <f t="shared" si="14"/>
        <v>0</v>
      </c>
      <c r="O55" s="464">
        <f t="shared" si="14"/>
        <v>0</v>
      </c>
      <c r="P55" s="464">
        <f t="shared" si="14"/>
        <v>0</v>
      </c>
      <c r="Q55" s="464">
        <f t="shared" si="14"/>
        <v>0</v>
      </c>
      <c r="R55" s="464">
        <f t="shared" si="14"/>
        <v>0</v>
      </c>
      <c r="S55" s="464">
        <f t="shared" si="14"/>
        <v>0</v>
      </c>
      <c r="T55" s="464">
        <f t="shared" si="14"/>
        <v>0</v>
      </c>
      <c r="U55" s="464">
        <f t="shared" si="14"/>
        <v>0</v>
      </c>
      <c r="V55" s="464">
        <f t="shared" si="14"/>
        <v>0</v>
      </c>
      <c r="W55" s="464">
        <f t="shared" si="14"/>
        <v>0</v>
      </c>
      <c r="X55" s="464">
        <f t="shared" si="14"/>
        <v>0</v>
      </c>
    </row>
    <row r="56" spans="1:26" s="367" customFormat="1" x14ac:dyDescent="0.2">
      <c r="A56" s="448" t="s">
        <v>844</v>
      </c>
      <c r="B56" s="448"/>
      <c r="C56" s="748" t="s">
        <v>845</v>
      </c>
      <c r="D56" s="743"/>
      <c r="E56" s="751"/>
      <c r="F56" s="745"/>
      <c r="G56" s="745"/>
      <c r="H56" s="457"/>
      <c r="I56" s="457"/>
      <c r="J56" s="457"/>
      <c r="K56" s="457"/>
      <c r="L56" s="457"/>
      <c r="M56" s="457"/>
      <c r="N56" s="457"/>
      <c r="O56" s="457"/>
      <c r="P56" s="457"/>
      <c r="Q56" s="457"/>
      <c r="R56" s="457"/>
      <c r="S56" s="457"/>
      <c r="T56" s="457"/>
      <c r="U56" s="457"/>
      <c r="V56" s="457"/>
      <c r="W56" s="457"/>
      <c r="X56" s="457"/>
      <c r="Y56" s="365"/>
      <c r="Z56" s="366"/>
    </row>
    <row r="57" spans="1:26" x14ac:dyDescent="0.2">
      <c r="A57" s="440" t="s">
        <v>198</v>
      </c>
      <c r="B57" s="440" t="s">
        <v>198</v>
      </c>
      <c r="C57" s="735" t="s">
        <v>846</v>
      </c>
      <c r="D57" s="736">
        <v>300</v>
      </c>
      <c r="E57" s="741">
        <v>73.260000000000005</v>
      </c>
      <c r="F57" s="738">
        <v>300</v>
      </c>
      <c r="G57" s="739">
        <f>F57*1/12</f>
        <v>25</v>
      </c>
      <c r="H57" s="445">
        <v>0</v>
      </c>
      <c r="I57" s="740">
        <f>F57*2/12</f>
        <v>50</v>
      </c>
      <c r="J57" s="447">
        <v>0</v>
      </c>
      <c r="K57" s="747">
        <f>F57*3/12</f>
        <v>75</v>
      </c>
      <c r="L57" s="447">
        <v>0</v>
      </c>
      <c r="M57" s="447"/>
      <c r="N57" s="447"/>
      <c r="O57" s="455"/>
      <c r="P57" s="455"/>
      <c r="Q57" s="447"/>
      <c r="R57" s="447"/>
      <c r="S57" s="447"/>
      <c r="T57" s="447"/>
      <c r="U57" s="447"/>
      <c r="V57" s="447"/>
      <c r="W57" s="447"/>
      <c r="X57" s="447"/>
    </row>
    <row r="58" spans="1:26" x14ac:dyDescent="0.2">
      <c r="A58" s="440" t="s">
        <v>207</v>
      </c>
      <c r="B58" s="440" t="s">
        <v>198</v>
      </c>
      <c r="C58" s="735" t="s">
        <v>847</v>
      </c>
      <c r="D58" s="736">
        <v>600</v>
      </c>
      <c r="E58" s="737">
        <v>1915.76</v>
      </c>
      <c r="F58" s="738">
        <v>600</v>
      </c>
      <c r="G58" s="739">
        <f t="shared" ref="G58:G64" si="15">F58*1/12</f>
        <v>50</v>
      </c>
      <c r="H58" s="445">
        <v>49.9</v>
      </c>
      <c r="I58" s="740">
        <f t="shared" ref="I58:I121" si="16">F58*2/12</f>
        <v>100</v>
      </c>
      <c r="J58" s="447">
        <v>99.8</v>
      </c>
      <c r="K58" s="747">
        <f t="shared" ref="K58:K88" si="17">F58*3/12</f>
        <v>150</v>
      </c>
      <c r="L58" s="447">
        <v>99.8</v>
      </c>
      <c r="M58" s="447"/>
      <c r="N58" s="447"/>
      <c r="O58" s="447"/>
      <c r="P58" s="447"/>
      <c r="Q58" s="455"/>
      <c r="R58" s="455"/>
      <c r="S58" s="455"/>
      <c r="T58" s="455"/>
      <c r="U58" s="455"/>
      <c r="V58" s="455"/>
      <c r="W58" s="455"/>
      <c r="X58" s="455"/>
    </row>
    <row r="59" spans="1:26" x14ac:dyDescent="0.2">
      <c r="A59" s="440" t="s">
        <v>848</v>
      </c>
      <c r="B59" s="440" t="s">
        <v>198</v>
      </c>
      <c r="C59" s="735" t="s">
        <v>849</v>
      </c>
      <c r="D59" s="736">
        <v>75</v>
      </c>
      <c r="E59" s="741">
        <v>74.02</v>
      </c>
      <c r="F59" s="738">
        <v>75</v>
      </c>
      <c r="G59" s="739">
        <f t="shared" si="15"/>
        <v>6.25</v>
      </c>
      <c r="H59" s="445">
        <v>0</v>
      </c>
      <c r="I59" s="740">
        <f t="shared" si="16"/>
        <v>12.5</v>
      </c>
      <c r="J59" s="447">
        <v>18.36</v>
      </c>
      <c r="K59" s="747">
        <f t="shared" si="17"/>
        <v>18.75</v>
      </c>
      <c r="L59" s="447">
        <v>18.36</v>
      </c>
      <c r="M59" s="447"/>
      <c r="N59" s="447"/>
      <c r="O59" s="447"/>
      <c r="P59" s="447"/>
      <c r="Q59" s="447"/>
      <c r="R59" s="447"/>
      <c r="S59" s="447"/>
      <c r="T59" s="447"/>
      <c r="U59" s="447"/>
      <c r="V59" s="447"/>
      <c r="W59" s="447"/>
      <c r="X59" s="447"/>
    </row>
    <row r="60" spans="1:26" x14ac:dyDescent="0.2">
      <c r="A60" s="440" t="s">
        <v>850</v>
      </c>
      <c r="B60" s="440" t="s">
        <v>198</v>
      </c>
      <c r="C60" s="735" t="s">
        <v>851</v>
      </c>
      <c r="D60" s="736">
        <v>0</v>
      </c>
      <c r="E60" s="741">
        <v>0</v>
      </c>
      <c r="F60" s="738">
        <v>0</v>
      </c>
      <c r="G60" s="739">
        <f t="shared" si="15"/>
        <v>0</v>
      </c>
      <c r="H60" s="445">
        <v>0</v>
      </c>
      <c r="I60" s="740">
        <f t="shared" si="16"/>
        <v>0</v>
      </c>
      <c r="J60" s="447">
        <v>0</v>
      </c>
      <c r="K60" s="747">
        <f t="shared" si="17"/>
        <v>0</v>
      </c>
      <c r="L60" s="447">
        <v>0</v>
      </c>
      <c r="M60" s="447"/>
      <c r="N60" s="447"/>
      <c r="O60" s="447"/>
      <c r="P60" s="447"/>
      <c r="Q60" s="447"/>
      <c r="R60" s="447"/>
      <c r="S60" s="447"/>
      <c r="T60" s="447"/>
      <c r="U60" s="447"/>
      <c r="V60" s="447"/>
      <c r="W60" s="447"/>
      <c r="X60" s="447"/>
    </row>
    <row r="61" spans="1:26" x14ac:dyDescent="0.2">
      <c r="A61" s="440" t="s">
        <v>852</v>
      </c>
      <c r="B61" s="440" t="s">
        <v>198</v>
      </c>
      <c r="C61" s="735" t="s">
        <v>853</v>
      </c>
      <c r="D61" s="736">
        <v>1000</v>
      </c>
      <c r="E61" s="741">
        <v>388.44</v>
      </c>
      <c r="F61" s="738">
        <v>1000</v>
      </c>
      <c r="G61" s="739">
        <f t="shared" si="15"/>
        <v>83.333333333333329</v>
      </c>
      <c r="H61" s="445">
        <v>0</v>
      </c>
      <c r="I61" s="740">
        <f t="shared" si="16"/>
        <v>166.66666666666666</v>
      </c>
      <c r="J61" s="447">
        <v>202.83</v>
      </c>
      <c r="K61" s="747">
        <f t="shared" si="17"/>
        <v>250</v>
      </c>
      <c r="L61" s="447">
        <v>410.48</v>
      </c>
      <c r="M61" s="447"/>
      <c r="N61" s="447"/>
      <c r="O61" s="447"/>
      <c r="P61" s="447"/>
      <c r="Q61" s="447"/>
      <c r="R61" s="447"/>
      <c r="S61" s="447"/>
      <c r="T61" s="447"/>
      <c r="U61" s="447"/>
      <c r="V61" s="447"/>
      <c r="W61" s="447"/>
      <c r="X61" s="447"/>
    </row>
    <row r="62" spans="1:26" x14ac:dyDescent="0.2">
      <c r="A62" s="440" t="s">
        <v>854</v>
      </c>
      <c r="B62" s="440" t="s">
        <v>855</v>
      </c>
      <c r="C62" s="735" t="s">
        <v>856</v>
      </c>
      <c r="D62" s="736">
        <v>250</v>
      </c>
      <c r="E62" s="741">
        <v>249.58</v>
      </c>
      <c r="F62" s="738">
        <v>250</v>
      </c>
      <c r="G62" s="739">
        <f t="shared" si="15"/>
        <v>20.833333333333332</v>
      </c>
      <c r="H62" s="445">
        <v>0</v>
      </c>
      <c r="I62" s="740">
        <f t="shared" si="16"/>
        <v>41.666666666666664</v>
      </c>
      <c r="J62" s="447">
        <v>0</v>
      </c>
      <c r="K62" s="747">
        <f t="shared" si="17"/>
        <v>62.5</v>
      </c>
      <c r="L62" s="447">
        <v>0</v>
      </c>
      <c r="M62" s="447"/>
      <c r="N62" s="447"/>
      <c r="O62" s="447"/>
      <c r="P62" s="447"/>
      <c r="Q62" s="447"/>
      <c r="R62" s="447"/>
      <c r="S62" s="447"/>
      <c r="T62" s="447"/>
      <c r="U62" s="447"/>
      <c r="V62" s="447"/>
      <c r="W62" s="447"/>
      <c r="X62" s="447"/>
    </row>
    <row r="63" spans="1:26" x14ac:dyDescent="0.2">
      <c r="A63" s="440" t="s">
        <v>857</v>
      </c>
      <c r="B63" s="440" t="s">
        <v>201</v>
      </c>
      <c r="C63" s="735" t="s">
        <v>858</v>
      </c>
      <c r="D63" s="736">
        <v>100</v>
      </c>
      <c r="E63" s="741">
        <v>0</v>
      </c>
      <c r="F63" s="738">
        <v>100</v>
      </c>
      <c r="G63" s="739">
        <f t="shared" si="15"/>
        <v>8.3333333333333339</v>
      </c>
      <c r="H63" s="445">
        <v>0</v>
      </c>
      <c r="I63" s="740">
        <f t="shared" si="16"/>
        <v>16.666666666666668</v>
      </c>
      <c r="J63" s="447">
        <v>0</v>
      </c>
      <c r="K63" s="747">
        <f t="shared" si="17"/>
        <v>25</v>
      </c>
      <c r="L63" s="447">
        <v>0</v>
      </c>
      <c r="M63" s="447"/>
      <c r="N63" s="447"/>
      <c r="O63" s="447"/>
      <c r="P63" s="447"/>
      <c r="Q63" s="447"/>
      <c r="R63" s="447"/>
      <c r="S63" s="447"/>
      <c r="T63" s="447"/>
      <c r="U63" s="447"/>
      <c r="V63" s="447"/>
      <c r="W63" s="447"/>
      <c r="X63" s="447"/>
    </row>
    <row r="64" spans="1:26" x14ac:dyDescent="0.2">
      <c r="A64" s="440" t="s">
        <v>204</v>
      </c>
      <c r="B64" s="440" t="s">
        <v>203</v>
      </c>
      <c r="C64" s="735" t="s">
        <v>859</v>
      </c>
      <c r="D64" s="736">
        <v>350</v>
      </c>
      <c r="E64" s="741">
        <v>332.2</v>
      </c>
      <c r="F64" s="738">
        <v>350</v>
      </c>
      <c r="G64" s="739">
        <f t="shared" si="15"/>
        <v>29.166666666666668</v>
      </c>
      <c r="H64" s="445">
        <v>0</v>
      </c>
      <c r="I64" s="740">
        <f t="shared" si="16"/>
        <v>58.333333333333336</v>
      </c>
      <c r="J64" s="447">
        <v>0</v>
      </c>
      <c r="K64" s="747">
        <f t="shared" si="17"/>
        <v>87.5</v>
      </c>
      <c r="L64" s="447">
        <v>0</v>
      </c>
      <c r="M64" s="447"/>
      <c r="N64" s="447"/>
      <c r="O64" s="447"/>
      <c r="P64" s="447"/>
      <c r="Q64" s="447"/>
      <c r="R64" s="447"/>
      <c r="S64" s="447"/>
      <c r="T64" s="447"/>
      <c r="U64" s="447"/>
      <c r="V64" s="447"/>
      <c r="W64" s="447"/>
      <c r="X64" s="447"/>
    </row>
    <row r="65" spans="1:26" s="367" customFormat="1" x14ac:dyDescent="0.2">
      <c r="A65" s="448" t="s">
        <v>860</v>
      </c>
      <c r="B65" s="448"/>
      <c r="C65" s="742" t="s">
        <v>861</v>
      </c>
      <c r="D65" s="743"/>
      <c r="E65" s="744"/>
      <c r="F65" s="745"/>
      <c r="G65" s="745"/>
      <c r="H65" s="457"/>
      <c r="I65" s="457"/>
      <c r="J65" s="458"/>
      <c r="K65" s="458"/>
      <c r="L65" s="458"/>
      <c r="M65" s="458"/>
      <c r="N65" s="458"/>
      <c r="O65" s="458"/>
      <c r="P65" s="458"/>
      <c r="Q65" s="458"/>
      <c r="R65" s="458"/>
      <c r="S65" s="458"/>
      <c r="T65" s="454"/>
      <c r="U65" s="454"/>
      <c r="V65" s="454"/>
      <c r="W65" s="454"/>
      <c r="X65" s="454"/>
      <c r="Y65" s="365"/>
      <c r="Z65" s="366"/>
    </row>
    <row r="66" spans="1:26" x14ac:dyDescent="0.2">
      <c r="A66" s="440" t="s">
        <v>862</v>
      </c>
      <c r="B66" s="440" t="s">
        <v>206</v>
      </c>
      <c r="C66" s="735" t="s">
        <v>863</v>
      </c>
      <c r="D66" s="736">
        <v>300</v>
      </c>
      <c r="E66" s="741">
        <v>166.95</v>
      </c>
      <c r="F66" s="738">
        <v>300</v>
      </c>
      <c r="G66" s="739">
        <f t="shared" ref="G66:G69" si="18">F66*1/12</f>
        <v>25</v>
      </c>
      <c r="H66" s="447">
        <v>6.2</v>
      </c>
      <c r="I66" s="740">
        <f t="shared" si="16"/>
        <v>50</v>
      </c>
      <c r="J66" s="447">
        <v>15.15</v>
      </c>
      <c r="K66" s="747">
        <f t="shared" si="17"/>
        <v>75</v>
      </c>
      <c r="L66" s="447">
        <v>23.89</v>
      </c>
      <c r="M66" s="447"/>
      <c r="N66" s="447"/>
      <c r="O66" s="447"/>
      <c r="P66" s="447"/>
      <c r="Q66" s="447"/>
      <c r="R66" s="447"/>
      <c r="S66" s="447"/>
      <c r="T66" s="447"/>
      <c r="U66" s="447"/>
      <c r="V66" s="447"/>
      <c r="W66" s="447"/>
      <c r="X66" s="447"/>
    </row>
    <row r="67" spans="1:26" x14ac:dyDescent="0.2">
      <c r="A67" s="440" t="s">
        <v>864</v>
      </c>
      <c r="B67" s="440" t="s">
        <v>206</v>
      </c>
      <c r="C67" s="735" t="s">
        <v>865</v>
      </c>
      <c r="D67" s="736">
        <v>400</v>
      </c>
      <c r="E67" s="737">
        <v>481.83</v>
      </c>
      <c r="F67" s="738">
        <v>400</v>
      </c>
      <c r="G67" s="739">
        <f t="shared" si="18"/>
        <v>33.333333333333336</v>
      </c>
      <c r="H67" s="447">
        <v>47.59</v>
      </c>
      <c r="I67" s="740">
        <f t="shared" si="16"/>
        <v>66.666666666666671</v>
      </c>
      <c r="J67" s="447">
        <v>95.18</v>
      </c>
      <c r="K67" s="747">
        <f t="shared" si="17"/>
        <v>100</v>
      </c>
      <c r="L67" s="447">
        <v>142.77000000000001</v>
      </c>
      <c r="M67" s="447"/>
      <c r="N67" s="447"/>
      <c r="O67" s="447"/>
      <c r="P67" s="447"/>
      <c r="Q67" s="447"/>
      <c r="R67" s="447"/>
      <c r="S67" s="447"/>
      <c r="T67" s="447"/>
      <c r="U67" s="455"/>
      <c r="V67" s="455"/>
      <c r="W67" s="455"/>
      <c r="X67" s="747"/>
    </row>
    <row r="68" spans="1:26" x14ac:dyDescent="0.2">
      <c r="A68" s="440" t="s">
        <v>866</v>
      </c>
      <c r="B68" s="440" t="s">
        <v>206</v>
      </c>
      <c r="C68" s="735" t="s">
        <v>867</v>
      </c>
      <c r="D68" s="736">
        <v>500</v>
      </c>
      <c r="E68" s="737">
        <v>711.24</v>
      </c>
      <c r="F68" s="738">
        <v>500</v>
      </c>
      <c r="G68" s="739">
        <f t="shared" si="18"/>
        <v>41.666666666666664</v>
      </c>
      <c r="H68" s="447">
        <v>51.94</v>
      </c>
      <c r="I68" s="740">
        <f t="shared" si="16"/>
        <v>83.333333333333329</v>
      </c>
      <c r="J68" s="447">
        <v>115.76</v>
      </c>
      <c r="K68" s="747">
        <f t="shared" si="17"/>
        <v>125</v>
      </c>
      <c r="L68" s="447">
        <v>122.89</v>
      </c>
      <c r="M68" s="447"/>
      <c r="N68" s="447"/>
      <c r="O68" s="447"/>
      <c r="P68" s="447"/>
      <c r="Q68" s="447"/>
      <c r="R68" s="447"/>
      <c r="S68" s="447"/>
      <c r="T68" s="455"/>
      <c r="U68" s="455"/>
      <c r="V68" s="455"/>
      <c r="W68" s="455"/>
      <c r="X68" s="447"/>
    </row>
    <row r="69" spans="1:26" x14ac:dyDescent="0.2">
      <c r="A69" s="440" t="s">
        <v>213</v>
      </c>
      <c r="B69" s="440" t="s">
        <v>206</v>
      </c>
      <c r="C69" s="735" t="s">
        <v>868</v>
      </c>
      <c r="D69" s="736">
        <v>3500</v>
      </c>
      <c r="E69" s="741">
        <v>2552.9699999999998</v>
      </c>
      <c r="F69" s="738">
        <v>3500</v>
      </c>
      <c r="G69" s="739">
        <f t="shared" si="18"/>
        <v>291.66666666666669</v>
      </c>
      <c r="H69" s="447">
        <v>0</v>
      </c>
      <c r="I69" s="740">
        <f t="shared" si="16"/>
        <v>583.33333333333337</v>
      </c>
      <c r="J69" s="447">
        <v>225.29</v>
      </c>
      <c r="K69" s="747">
        <f t="shared" si="17"/>
        <v>875</v>
      </c>
      <c r="L69" s="447">
        <v>225.29</v>
      </c>
      <c r="M69" s="447"/>
      <c r="N69" s="447"/>
      <c r="O69" s="447"/>
      <c r="P69" s="447"/>
      <c r="Q69" s="447"/>
      <c r="R69" s="447"/>
      <c r="S69" s="447"/>
      <c r="T69" s="447"/>
      <c r="U69" s="447"/>
      <c r="V69" s="447"/>
      <c r="W69" s="447"/>
      <c r="X69" s="447"/>
    </row>
    <row r="70" spans="1:26" s="367" customFormat="1" x14ac:dyDescent="0.2">
      <c r="A70" s="448" t="s">
        <v>869</v>
      </c>
      <c r="B70" s="448"/>
      <c r="C70" s="742" t="s">
        <v>870</v>
      </c>
      <c r="D70" s="743"/>
      <c r="E70" s="744"/>
      <c r="F70" s="745"/>
      <c r="G70" s="745"/>
      <c r="H70" s="457"/>
      <c r="I70" s="457"/>
      <c r="J70" s="458"/>
      <c r="K70" s="458"/>
      <c r="L70" s="458"/>
      <c r="M70" s="458"/>
      <c r="N70" s="458"/>
      <c r="O70" s="458"/>
      <c r="P70" s="458"/>
      <c r="Q70" s="458"/>
      <c r="R70" s="458"/>
      <c r="S70" s="458"/>
      <c r="T70" s="454"/>
      <c r="U70" s="454"/>
      <c r="V70" s="454"/>
      <c r="W70" s="454"/>
      <c r="X70" s="454"/>
      <c r="Y70" s="365"/>
      <c r="Z70" s="366"/>
    </row>
    <row r="71" spans="1:26" x14ac:dyDescent="0.2">
      <c r="A71" s="440" t="s">
        <v>227</v>
      </c>
      <c r="B71" s="440" t="s">
        <v>1280</v>
      </c>
      <c r="C71" s="735" t="s">
        <v>871</v>
      </c>
      <c r="D71" s="736">
        <v>500</v>
      </c>
      <c r="E71" s="741">
        <v>2053.25</v>
      </c>
      <c r="F71" s="738">
        <v>500</v>
      </c>
      <c r="G71" s="739">
        <f t="shared" ref="G71:G73" si="19">F71*1/12</f>
        <v>41.666666666666664</v>
      </c>
      <c r="H71" s="445">
        <v>0</v>
      </c>
      <c r="I71" s="740">
        <f t="shared" si="16"/>
        <v>83.333333333333329</v>
      </c>
      <c r="J71" s="447">
        <v>0</v>
      </c>
      <c r="K71" s="747">
        <f t="shared" si="17"/>
        <v>125</v>
      </c>
      <c r="L71" s="447">
        <v>0</v>
      </c>
      <c r="M71" s="447"/>
      <c r="N71" s="455"/>
      <c r="O71" s="455"/>
      <c r="P71" s="455"/>
      <c r="Q71" s="455"/>
      <c r="R71" s="455"/>
      <c r="S71" s="455"/>
      <c r="T71" s="455"/>
      <c r="U71" s="455"/>
      <c r="V71" s="455"/>
      <c r="W71" s="455"/>
      <c r="X71" s="447"/>
    </row>
    <row r="72" spans="1:26" x14ac:dyDescent="0.2">
      <c r="A72" s="440" t="s">
        <v>872</v>
      </c>
      <c r="B72" s="440" t="s">
        <v>1280</v>
      </c>
      <c r="C72" s="735" t="s">
        <v>873</v>
      </c>
      <c r="D72" s="736">
        <v>500</v>
      </c>
      <c r="E72" s="741">
        <v>0</v>
      </c>
      <c r="F72" s="738">
        <v>500</v>
      </c>
      <c r="G72" s="739">
        <f t="shared" si="19"/>
        <v>41.666666666666664</v>
      </c>
      <c r="H72" s="445">
        <v>0</v>
      </c>
      <c r="I72" s="740">
        <f t="shared" si="16"/>
        <v>83.333333333333329</v>
      </c>
      <c r="J72" s="447">
        <v>0</v>
      </c>
      <c r="K72" s="747">
        <f t="shared" si="17"/>
        <v>125</v>
      </c>
      <c r="L72" s="447">
        <v>0</v>
      </c>
      <c r="M72" s="447"/>
      <c r="N72" s="447"/>
      <c r="O72" s="447"/>
      <c r="P72" s="447"/>
      <c r="Q72" s="447"/>
      <c r="R72" s="447"/>
      <c r="S72" s="447"/>
      <c r="T72" s="447"/>
      <c r="U72" s="447"/>
      <c r="V72" s="447"/>
      <c r="W72" s="447"/>
      <c r="X72" s="447"/>
    </row>
    <row r="73" spans="1:26" x14ac:dyDescent="0.2">
      <c r="A73" s="440" t="s">
        <v>874</v>
      </c>
      <c r="B73" s="440" t="s">
        <v>1280</v>
      </c>
      <c r="C73" s="735" t="s">
        <v>875</v>
      </c>
      <c r="D73" s="736">
        <v>200</v>
      </c>
      <c r="E73" s="741">
        <v>0</v>
      </c>
      <c r="F73" s="738">
        <v>200</v>
      </c>
      <c r="G73" s="739">
        <f t="shared" si="19"/>
        <v>16.666666666666668</v>
      </c>
      <c r="H73" s="445">
        <v>0</v>
      </c>
      <c r="I73" s="740">
        <f t="shared" si="16"/>
        <v>33.333333333333336</v>
      </c>
      <c r="J73" s="447">
        <v>0</v>
      </c>
      <c r="K73" s="747">
        <f t="shared" si="17"/>
        <v>50</v>
      </c>
      <c r="L73" s="447">
        <v>0</v>
      </c>
      <c r="M73" s="447"/>
      <c r="N73" s="447"/>
      <c r="O73" s="447"/>
      <c r="P73" s="447"/>
      <c r="Q73" s="447"/>
      <c r="R73" s="447"/>
      <c r="S73" s="447"/>
      <c r="T73" s="447"/>
      <c r="U73" s="447"/>
      <c r="V73" s="447"/>
      <c r="W73" s="447"/>
      <c r="X73" s="447"/>
    </row>
    <row r="74" spans="1:26" s="367" customFormat="1" x14ac:dyDescent="0.2">
      <c r="A74" s="448" t="s">
        <v>876</v>
      </c>
      <c r="B74" s="448"/>
      <c r="C74" s="742" t="s">
        <v>877</v>
      </c>
      <c r="D74" s="743"/>
      <c r="E74" s="744"/>
      <c r="F74" s="745"/>
      <c r="G74" s="745"/>
      <c r="H74" s="457"/>
      <c r="I74" s="457"/>
      <c r="J74" s="458"/>
      <c r="K74" s="458"/>
      <c r="L74" s="458"/>
      <c r="M74" s="458"/>
      <c r="N74" s="458"/>
      <c r="O74" s="458"/>
      <c r="P74" s="458"/>
      <c r="Q74" s="458"/>
      <c r="R74" s="458"/>
      <c r="S74" s="458"/>
      <c r="T74" s="454"/>
      <c r="U74" s="454"/>
      <c r="V74" s="454"/>
      <c r="W74" s="454"/>
      <c r="X74" s="454"/>
      <c r="Y74" s="365"/>
      <c r="Z74" s="366"/>
    </row>
    <row r="75" spans="1:26" x14ac:dyDescent="0.2">
      <c r="A75" s="440" t="s">
        <v>878</v>
      </c>
      <c r="B75" s="440" t="s">
        <v>209</v>
      </c>
      <c r="C75" s="735" t="s">
        <v>879</v>
      </c>
      <c r="D75" s="736">
        <v>14000</v>
      </c>
      <c r="E75" s="737">
        <v>14427.94</v>
      </c>
      <c r="F75" s="738">
        <v>14000</v>
      </c>
      <c r="G75" s="739">
        <f t="shared" ref="G75:G77" si="20">F75*1/12</f>
        <v>1166.6666666666667</v>
      </c>
      <c r="H75" s="447">
        <v>897.26</v>
      </c>
      <c r="I75" s="740">
        <f t="shared" si="16"/>
        <v>2333.3333333333335</v>
      </c>
      <c r="J75" s="447">
        <v>1870.81</v>
      </c>
      <c r="K75" s="747">
        <f t="shared" si="17"/>
        <v>3500</v>
      </c>
      <c r="L75" s="447">
        <v>1870.81</v>
      </c>
      <c r="M75" s="447"/>
      <c r="N75" s="447"/>
      <c r="O75" s="447"/>
      <c r="P75" s="447"/>
      <c r="Q75" s="447"/>
      <c r="R75" s="447"/>
      <c r="S75" s="447"/>
      <c r="T75" s="447"/>
      <c r="U75" s="447"/>
      <c r="V75" s="447"/>
      <c r="W75" s="455"/>
      <c r="X75" s="747"/>
    </row>
    <row r="76" spans="1:26" x14ac:dyDescent="0.2">
      <c r="A76" s="440" t="s">
        <v>230</v>
      </c>
      <c r="B76" s="440" t="s">
        <v>215</v>
      </c>
      <c r="C76" s="735" t="s">
        <v>880</v>
      </c>
      <c r="D76" s="736">
        <v>500</v>
      </c>
      <c r="E76" s="741">
        <v>125.85</v>
      </c>
      <c r="F76" s="738">
        <v>500</v>
      </c>
      <c r="G76" s="739">
        <f t="shared" si="20"/>
        <v>41.666666666666664</v>
      </c>
      <c r="H76" s="447">
        <v>0</v>
      </c>
      <c r="I76" s="740">
        <f t="shared" si="16"/>
        <v>83.333333333333329</v>
      </c>
      <c r="J76" s="447">
        <v>0</v>
      </c>
      <c r="K76" s="747">
        <f t="shared" si="17"/>
        <v>125</v>
      </c>
      <c r="L76" s="447">
        <v>0</v>
      </c>
      <c r="M76" s="447"/>
      <c r="N76" s="447"/>
      <c r="O76" s="447"/>
      <c r="P76" s="447"/>
      <c r="Q76" s="447"/>
      <c r="R76" s="447"/>
      <c r="S76" s="447"/>
      <c r="T76" s="447"/>
      <c r="U76" s="447"/>
      <c r="V76" s="447"/>
      <c r="W76" s="447"/>
      <c r="X76" s="747"/>
    </row>
    <row r="77" spans="1:26" x14ac:dyDescent="0.2">
      <c r="A77" s="440" t="s">
        <v>881</v>
      </c>
      <c r="B77" s="440" t="s">
        <v>209</v>
      </c>
      <c r="C77" s="735" t="s">
        <v>882</v>
      </c>
      <c r="D77" s="736">
        <v>500</v>
      </c>
      <c r="E77" s="741">
        <v>207.16</v>
      </c>
      <c r="F77" s="738">
        <v>500</v>
      </c>
      <c r="G77" s="739">
        <f t="shared" si="20"/>
        <v>41.666666666666664</v>
      </c>
      <c r="H77" s="447">
        <v>0</v>
      </c>
      <c r="I77" s="740">
        <f t="shared" si="16"/>
        <v>83.333333333333329</v>
      </c>
      <c r="J77" s="447">
        <v>0</v>
      </c>
      <c r="K77" s="747">
        <f t="shared" si="17"/>
        <v>125</v>
      </c>
      <c r="L77" s="447">
        <v>0</v>
      </c>
      <c r="M77" s="447"/>
      <c r="N77" s="447"/>
      <c r="O77" s="447"/>
      <c r="P77" s="447"/>
      <c r="Q77" s="447"/>
      <c r="R77" s="447"/>
      <c r="S77" s="447"/>
      <c r="T77" s="447"/>
      <c r="U77" s="447"/>
      <c r="V77" s="447"/>
      <c r="W77" s="447"/>
      <c r="X77" s="447"/>
    </row>
    <row r="78" spans="1:26" s="367" customFormat="1" x14ac:dyDescent="0.2">
      <c r="A78" s="448" t="s">
        <v>883</v>
      </c>
      <c r="B78" s="448"/>
      <c r="C78" s="742" t="s">
        <v>884</v>
      </c>
      <c r="D78" s="743"/>
      <c r="E78" s="744"/>
      <c r="F78" s="745"/>
      <c r="G78" s="745"/>
      <c r="H78" s="457"/>
      <c r="I78" s="457"/>
      <c r="J78" s="458"/>
      <c r="K78" s="458"/>
      <c r="L78" s="458"/>
      <c r="M78" s="458"/>
      <c r="N78" s="458"/>
      <c r="O78" s="458"/>
      <c r="P78" s="458"/>
      <c r="Q78" s="458"/>
      <c r="R78" s="458"/>
      <c r="S78" s="458"/>
      <c r="T78" s="454"/>
      <c r="U78" s="454"/>
      <c r="V78" s="454"/>
      <c r="W78" s="454"/>
      <c r="X78" s="454"/>
      <c r="Y78" s="365"/>
      <c r="Z78" s="366"/>
    </row>
    <row r="79" spans="1:26" x14ac:dyDescent="0.2">
      <c r="A79" s="440" t="s">
        <v>885</v>
      </c>
      <c r="B79" s="440" t="s">
        <v>1281</v>
      </c>
      <c r="C79" s="735" t="s">
        <v>886</v>
      </c>
      <c r="D79" s="736">
        <v>500</v>
      </c>
      <c r="E79" s="741">
        <v>490.89</v>
      </c>
      <c r="F79" s="738">
        <v>500</v>
      </c>
      <c r="G79" s="739">
        <f t="shared" ref="G79:G80" si="21">F79*1/12</f>
        <v>41.666666666666664</v>
      </c>
      <c r="H79" s="445">
        <v>0</v>
      </c>
      <c r="I79" s="740">
        <f t="shared" si="16"/>
        <v>83.333333333333329</v>
      </c>
      <c r="J79" s="447">
        <v>0</v>
      </c>
      <c r="K79" s="747">
        <f t="shared" si="17"/>
        <v>125</v>
      </c>
      <c r="L79" s="447">
        <v>490.89</v>
      </c>
      <c r="M79" s="447"/>
      <c r="N79" s="447"/>
      <c r="O79" s="447"/>
      <c r="P79" s="447"/>
      <c r="Q79" s="447"/>
      <c r="R79" s="447"/>
      <c r="S79" s="447"/>
      <c r="T79" s="447"/>
      <c r="U79" s="447"/>
      <c r="V79" s="447"/>
      <c r="W79" s="447"/>
      <c r="X79" s="447"/>
    </row>
    <row r="80" spans="1:26" x14ac:dyDescent="0.2">
      <c r="A80" s="440" t="s">
        <v>887</v>
      </c>
      <c r="B80" s="440" t="s">
        <v>1281</v>
      </c>
      <c r="C80" s="735" t="s">
        <v>888</v>
      </c>
      <c r="D80" s="736">
        <v>35</v>
      </c>
      <c r="E80" s="741">
        <v>0</v>
      </c>
      <c r="F80" s="738">
        <v>35</v>
      </c>
      <c r="G80" s="739">
        <f t="shared" si="21"/>
        <v>2.9166666666666665</v>
      </c>
      <c r="H80" s="445">
        <v>0</v>
      </c>
      <c r="I80" s="740">
        <f t="shared" si="16"/>
        <v>5.833333333333333</v>
      </c>
      <c r="J80" s="447">
        <v>0</v>
      </c>
      <c r="K80" s="747">
        <f t="shared" si="17"/>
        <v>8.75</v>
      </c>
      <c r="L80" s="447">
        <v>0</v>
      </c>
      <c r="M80" s="447"/>
      <c r="N80" s="447"/>
      <c r="O80" s="447"/>
      <c r="P80" s="447"/>
      <c r="Q80" s="447"/>
      <c r="R80" s="447"/>
      <c r="S80" s="447"/>
      <c r="T80" s="447"/>
      <c r="U80" s="447"/>
      <c r="V80" s="447"/>
      <c r="W80" s="447"/>
      <c r="X80" s="447"/>
    </row>
    <row r="81" spans="1:26" s="367" customFormat="1" x14ac:dyDescent="0.2">
      <c r="A81" s="448" t="s">
        <v>889</v>
      </c>
      <c r="B81" s="448"/>
      <c r="C81" s="742" t="s">
        <v>890</v>
      </c>
      <c r="D81" s="743"/>
      <c r="E81" s="744"/>
      <c r="F81" s="745"/>
      <c r="G81" s="745"/>
      <c r="H81" s="457"/>
      <c r="I81" s="457"/>
      <c r="J81" s="458"/>
      <c r="K81" s="458"/>
      <c r="L81" s="458"/>
      <c r="M81" s="458"/>
      <c r="N81" s="458"/>
      <c r="O81" s="458"/>
      <c r="P81" s="458"/>
      <c r="Q81" s="458"/>
      <c r="R81" s="458"/>
      <c r="S81" s="458"/>
      <c r="T81" s="454"/>
      <c r="U81" s="454"/>
      <c r="V81" s="454"/>
      <c r="W81" s="454"/>
      <c r="X81" s="454"/>
      <c r="Y81" s="365"/>
      <c r="Z81" s="366"/>
    </row>
    <row r="82" spans="1:26" x14ac:dyDescent="0.2">
      <c r="A82" s="440" t="s">
        <v>185</v>
      </c>
      <c r="B82" s="440" t="s">
        <v>1282</v>
      </c>
      <c r="C82" s="735" t="s">
        <v>891</v>
      </c>
      <c r="D82" s="736">
        <v>1500</v>
      </c>
      <c r="E82" s="741">
        <v>0</v>
      </c>
      <c r="F82" s="738">
        <v>1500</v>
      </c>
      <c r="G82" s="739">
        <f t="shared" ref="G82:G84" si="22">F82*1/12</f>
        <v>125</v>
      </c>
      <c r="H82" s="445">
        <v>104.86</v>
      </c>
      <c r="I82" s="740">
        <f t="shared" si="16"/>
        <v>250</v>
      </c>
      <c r="J82" s="447">
        <v>104.86</v>
      </c>
      <c r="K82" s="747">
        <f t="shared" si="17"/>
        <v>375</v>
      </c>
      <c r="L82" s="447">
        <v>104.86</v>
      </c>
      <c r="M82" s="447"/>
      <c r="N82" s="447"/>
      <c r="O82" s="447"/>
      <c r="P82" s="447"/>
      <c r="Q82" s="447"/>
      <c r="R82" s="447"/>
      <c r="S82" s="447"/>
      <c r="T82" s="447"/>
      <c r="U82" s="447"/>
      <c r="V82" s="447"/>
      <c r="W82" s="447"/>
      <c r="X82" s="447"/>
    </row>
    <row r="83" spans="1:26" x14ac:dyDescent="0.2">
      <c r="A83" s="440" t="s">
        <v>190</v>
      </c>
      <c r="B83" s="440" t="s">
        <v>1282</v>
      </c>
      <c r="C83" s="735" t="s">
        <v>892</v>
      </c>
      <c r="D83" s="736">
        <v>1500</v>
      </c>
      <c r="E83" s="741">
        <v>0</v>
      </c>
      <c r="F83" s="738">
        <v>1500</v>
      </c>
      <c r="G83" s="739">
        <f t="shared" si="22"/>
        <v>125</v>
      </c>
      <c r="H83" s="445">
        <v>0</v>
      </c>
      <c r="I83" s="740">
        <f t="shared" si="16"/>
        <v>250</v>
      </c>
      <c r="J83" s="447">
        <v>0</v>
      </c>
      <c r="K83" s="747">
        <f t="shared" si="17"/>
        <v>375</v>
      </c>
      <c r="L83" s="447">
        <v>0</v>
      </c>
      <c r="M83" s="447"/>
      <c r="N83" s="447"/>
      <c r="O83" s="447"/>
      <c r="P83" s="447"/>
      <c r="Q83" s="447"/>
      <c r="R83" s="447"/>
      <c r="S83" s="447"/>
      <c r="T83" s="447"/>
      <c r="U83" s="447"/>
      <c r="V83" s="447"/>
      <c r="W83" s="447"/>
      <c r="X83" s="447"/>
    </row>
    <row r="84" spans="1:26" x14ac:dyDescent="0.2">
      <c r="A84" s="440" t="s">
        <v>188</v>
      </c>
      <c r="B84" s="440" t="s">
        <v>1282</v>
      </c>
      <c r="C84" s="735" t="s">
        <v>893</v>
      </c>
      <c r="D84" s="736">
        <v>1000</v>
      </c>
      <c r="E84" s="741">
        <v>199</v>
      </c>
      <c r="F84" s="738">
        <v>1000</v>
      </c>
      <c r="G84" s="739">
        <f t="shared" si="22"/>
        <v>83.333333333333329</v>
      </c>
      <c r="H84" s="445">
        <v>60</v>
      </c>
      <c r="I84" s="740">
        <f t="shared" si="16"/>
        <v>166.66666666666666</v>
      </c>
      <c r="J84" s="447">
        <v>150</v>
      </c>
      <c r="K84" s="747">
        <f t="shared" si="17"/>
        <v>250</v>
      </c>
      <c r="L84" s="447">
        <v>150</v>
      </c>
      <c r="M84" s="447"/>
      <c r="N84" s="447"/>
      <c r="O84" s="447"/>
      <c r="P84" s="447"/>
      <c r="Q84" s="447"/>
      <c r="R84" s="447"/>
      <c r="S84" s="447"/>
      <c r="T84" s="447"/>
      <c r="U84" s="447"/>
      <c r="V84" s="447"/>
      <c r="W84" s="447"/>
      <c r="X84" s="447"/>
    </row>
    <row r="85" spans="1:26" s="367" customFormat="1" x14ac:dyDescent="0.2">
      <c r="A85" s="448" t="s">
        <v>894</v>
      </c>
      <c r="B85" s="448"/>
      <c r="C85" s="742" t="s">
        <v>895</v>
      </c>
      <c r="D85" s="743"/>
      <c r="E85" s="746"/>
      <c r="F85" s="745"/>
      <c r="G85" s="745"/>
      <c r="H85" s="457"/>
      <c r="I85" s="457"/>
      <c r="J85" s="458"/>
      <c r="K85" s="458"/>
      <c r="L85" s="458"/>
      <c r="M85" s="458"/>
      <c r="N85" s="458"/>
      <c r="O85" s="458"/>
      <c r="P85" s="458"/>
      <c r="Q85" s="458"/>
      <c r="R85" s="458"/>
      <c r="S85" s="458"/>
      <c r="T85" s="454"/>
      <c r="U85" s="454"/>
      <c r="V85" s="458"/>
      <c r="W85" s="458"/>
      <c r="X85" s="458"/>
      <c r="Y85" s="365"/>
      <c r="Z85" s="366"/>
    </row>
    <row r="86" spans="1:26" x14ac:dyDescent="0.2">
      <c r="A86" s="440" t="s">
        <v>896</v>
      </c>
      <c r="B86" s="440" t="s">
        <v>896</v>
      </c>
      <c r="C86" s="735" t="s">
        <v>897</v>
      </c>
      <c r="D86" s="736">
        <v>10000</v>
      </c>
      <c r="E86" s="741">
        <v>7761.38</v>
      </c>
      <c r="F86" s="738">
        <v>10000</v>
      </c>
      <c r="G86" s="739">
        <f t="shared" ref="G86:G88" si="23">F86*1/12</f>
        <v>833.33333333333337</v>
      </c>
      <c r="H86" s="447">
        <v>0</v>
      </c>
      <c r="I86" s="740">
        <f t="shared" si="16"/>
        <v>1666.6666666666667</v>
      </c>
      <c r="J86" s="447">
        <v>8022.39</v>
      </c>
      <c r="K86" s="747">
        <f t="shared" si="17"/>
        <v>2500</v>
      </c>
      <c r="L86" s="447">
        <v>8022.39</v>
      </c>
      <c r="M86" s="447"/>
      <c r="N86" s="447"/>
      <c r="O86" s="447"/>
      <c r="P86" s="447"/>
      <c r="Q86" s="447"/>
      <c r="R86" s="447"/>
      <c r="S86" s="447"/>
      <c r="T86" s="447"/>
      <c r="U86" s="447"/>
      <c r="V86" s="447"/>
      <c r="W86" s="447"/>
      <c r="X86" s="447"/>
    </row>
    <row r="87" spans="1:26" x14ac:dyDescent="0.2">
      <c r="A87" s="440" t="s">
        <v>416</v>
      </c>
      <c r="B87" s="440" t="s">
        <v>416</v>
      </c>
      <c r="C87" s="735" t="s">
        <v>898</v>
      </c>
      <c r="D87" s="736">
        <v>5000</v>
      </c>
      <c r="E87" s="741">
        <v>3663.15</v>
      </c>
      <c r="F87" s="738">
        <v>5000</v>
      </c>
      <c r="G87" s="739">
        <f t="shared" si="23"/>
        <v>416.66666666666669</v>
      </c>
      <c r="H87" s="445">
        <v>273.11</v>
      </c>
      <c r="I87" s="740">
        <f t="shared" si="16"/>
        <v>833.33333333333337</v>
      </c>
      <c r="J87" s="447">
        <v>546.22</v>
      </c>
      <c r="K87" s="747">
        <f t="shared" si="17"/>
        <v>1250</v>
      </c>
      <c r="L87" s="447">
        <v>803.26</v>
      </c>
      <c r="M87" s="447"/>
      <c r="N87" s="447"/>
      <c r="O87" s="447"/>
      <c r="P87" s="447"/>
      <c r="Q87" s="447"/>
      <c r="R87" s="447"/>
      <c r="S87" s="447"/>
      <c r="T87" s="447"/>
      <c r="U87" s="447"/>
      <c r="V87" s="447"/>
      <c r="W87" s="447"/>
      <c r="X87" s="447"/>
    </row>
    <row r="88" spans="1:26" x14ac:dyDescent="0.2">
      <c r="A88" s="440" t="s">
        <v>419</v>
      </c>
      <c r="B88" s="440" t="s">
        <v>896</v>
      </c>
      <c r="C88" s="735" t="s">
        <v>899</v>
      </c>
      <c r="D88" s="736">
        <v>500</v>
      </c>
      <c r="E88" s="737">
        <v>1517.25</v>
      </c>
      <c r="F88" s="738">
        <v>500</v>
      </c>
      <c r="G88" s="739">
        <f t="shared" si="23"/>
        <v>41.666666666666664</v>
      </c>
      <c r="H88" s="445">
        <v>1071</v>
      </c>
      <c r="I88" s="740">
        <f t="shared" si="16"/>
        <v>83.333333333333329</v>
      </c>
      <c r="J88" s="447">
        <v>1071</v>
      </c>
      <c r="K88" s="747">
        <f t="shared" si="17"/>
        <v>125</v>
      </c>
      <c r="L88" s="447">
        <v>1071</v>
      </c>
      <c r="M88" s="447"/>
      <c r="N88" s="447"/>
      <c r="O88" s="447"/>
      <c r="P88" s="447"/>
      <c r="Q88" s="447"/>
      <c r="R88" s="447"/>
      <c r="S88" s="447"/>
      <c r="T88" s="447"/>
      <c r="U88" s="455"/>
      <c r="V88" s="455"/>
      <c r="W88" s="455"/>
      <c r="X88" s="447"/>
    </row>
    <row r="89" spans="1:26" s="367" customFormat="1" x14ac:dyDescent="0.2">
      <c r="A89" s="448" t="s">
        <v>900</v>
      </c>
      <c r="B89" s="448"/>
      <c r="C89" s="742" t="s">
        <v>901</v>
      </c>
      <c r="D89" s="743"/>
      <c r="E89" s="746"/>
      <c r="F89" s="745"/>
      <c r="G89" s="745"/>
      <c r="H89" s="457"/>
      <c r="I89" s="457"/>
      <c r="J89" s="458"/>
      <c r="K89" s="458"/>
      <c r="L89" s="458"/>
      <c r="M89" s="458"/>
      <c r="N89" s="458"/>
      <c r="O89" s="458"/>
      <c r="P89" s="458"/>
      <c r="Q89" s="458"/>
      <c r="R89" s="458"/>
      <c r="S89" s="458"/>
      <c r="T89" s="454"/>
      <c r="U89" s="454"/>
      <c r="V89" s="458"/>
      <c r="W89" s="458"/>
      <c r="X89" s="458"/>
      <c r="Y89" s="365"/>
      <c r="Z89" s="366"/>
    </row>
    <row r="90" spans="1:26" s="367" customFormat="1" x14ac:dyDescent="0.2">
      <c r="A90" s="448" t="s">
        <v>902</v>
      </c>
      <c r="B90" s="448"/>
      <c r="C90" s="742" t="s">
        <v>903</v>
      </c>
      <c r="D90" s="743"/>
      <c r="E90" s="746"/>
      <c r="F90" s="745"/>
      <c r="G90" s="745"/>
      <c r="H90" s="457"/>
      <c r="I90" s="457"/>
      <c r="J90" s="458"/>
      <c r="K90" s="458"/>
      <c r="L90" s="458"/>
      <c r="M90" s="458"/>
      <c r="N90" s="458"/>
      <c r="O90" s="458"/>
      <c r="P90" s="458"/>
      <c r="Q90" s="458"/>
      <c r="R90" s="458"/>
      <c r="S90" s="458"/>
      <c r="T90" s="454"/>
      <c r="U90" s="454"/>
      <c r="V90" s="458"/>
      <c r="W90" s="458"/>
      <c r="X90" s="458"/>
      <c r="Y90" s="365"/>
      <c r="Z90" s="366"/>
    </row>
    <row r="91" spans="1:26" x14ac:dyDescent="0.2">
      <c r="A91" s="440" t="s">
        <v>904</v>
      </c>
      <c r="B91" s="440" t="s">
        <v>234</v>
      </c>
      <c r="C91" s="735" t="s">
        <v>905</v>
      </c>
      <c r="D91" s="736">
        <v>300</v>
      </c>
      <c r="E91" s="741">
        <v>0</v>
      </c>
      <c r="F91" s="738">
        <v>300</v>
      </c>
      <c r="G91" s="739">
        <f t="shared" ref="G91:G93" si="24">F91*1/12</f>
        <v>25</v>
      </c>
      <c r="H91" s="445">
        <v>0</v>
      </c>
      <c r="I91" s="740">
        <f t="shared" si="16"/>
        <v>50</v>
      </c>
      <c r="J91" s="447">
        <v>0</v>
      </c>
      <c r="K91" s="747">
        <f>F91*3/12</f>
        <v>75</v>
      </c>
      <c r="L91" s="447">
        <v>0</v>
      </c>
      <c r="M91" s="447"/>
      <c r="N91" s="447"/>
      <c r="O91" s="447"/>
      <c r="P91" s="447"/>
      <c r="Q91" s="447"/>
      <c r="R91" s="447"/>
      <c r="S91" s="447"/>
      <c r="T91" s="447"/>
      <c r="U91" s="447"/>
      <c r="V91" s="447"/>
      <c r="W91" s="447"/>
      <c r="X91" s="447"/>
    </row>
    <row r="92" spans="1:26" x14ac:dyDescent="0.2">
      <c r="A92" s="440" t="s">
        <v>906</v>
      </c>
      <c r="B92" s="440" t="s">
        <v>234</v>
      </c>
      <c r="C92" s="735" t="s">
        <v>907</v>
      </c>
      <c r="D92" s="736">
        <v>0</v>
      </c>
      <c r="E92" s="741">
        <v>0</v>
      </c>
      <c r="F92" s="738">
        <v>0</v>
      </c>
      <c r="G92" s="739">
        <f t="shared" si="24"/>
        <v>0</v>
      </c>
      <c r="H92" s="445">
        <v>0</v>
      </c>
      <c r="I92" s="740">
        <f t="shared" si="16"/>
        <v>0</v>
      </c>
      <c r="J92" s="447">
        <v>0</v>
      </c>
      <c r="K92" s="747">
        <f t="shared" ref="K92:K117" si="25">F92*3/12</f>
        <v>0</v>
      </c>
      <c r="L92" s="447">
        <v>0</v>
      </c>
      <c r="M92" s="447"/>
      <c r="N92" s="447"/>
      <c r="O92" s="447"/>
      <c r="P92" s="447"/>
      <c r="Q92" s="447"/>
      <c r="R92" s="447"/>
      <c r="S92" s="447"/>
      <c r="T92" s="447"/>
      <c r="U92" s="447"/>
      <c r="V92" s="447"/>
      <c r="W92" s="447"/>
      <c r="X92" s="447"/>
    </row>
    <row r="93" spans="1:26" x14ac:dyDescent="0.2">
      <c r="A93" s="440" t="s">
        <v>908</v>
      </c>
      <c r="B93" s="440" t="s">
        <v>234</v>
      </c>
      <c r="C93" s="735" t="s">
        <v>909</v>
      </c>
      <c r="D93" s="736">
        <v>100</v>
      </c>
      <c r="E93" s="741">
        <v>0</v>
      </c>
      <c r="F93" s="738">
        <v>100</v>
      </c>
      <c r="G93" s="739">
        <f t="shared" si="24"/>
        <v>8.3333333333333339</v>
      </c>
      <c r="H93" s="445">
        <v>0</v>
      </c>
      <c r="I93" s="740">
        <f t="shared" si="16"/>
        <v>16.666666666666668</v>
      </c>
      <c r="J93" s="447">
        <v>0</v>
      </c>
      <c r="K93" s="747">
        <f t="shared" si="25"/>
        <v>25</v>
      </c>
      <c r="L93" s="447">
        <v>0</v>
      </c>
      <c r="M93" s="447"/>
      <c r="N93" s="447"/>
      <c r="O93" s="447"/>
      <c r="P93" s="447"/>
      <c r="Q93" s="447"/>
      <c r="R93" s="447"/>
      <c r="S93" s="447"/>
      <c r="T93" s="447"/>
      <c r="U93" s="447"/>
      <c r="V93" s="447"/>
      <c r="W93" s="447"/>
      <c r="X93" s="447"/>
    </row>
    <row r="94" spans="1:26" s="367" customFormat="1" x14ac:dyDescent="0.2">
      <c r="A94" s="448" t="s">
        <v>910</v>
      </c>
      <c r="B94" s="448"/>
      <c r="C94" s="742" t="s">
        <v>911</v>
      </c>
      <c r="D94" s="743"/>
      <c r="E94" s="746"/>
      <c r="F94" s="745"/>
      <c r="G94" s="745"/>
      <c r="H94" s="457"/>
      <c r="I94" s="457"/>
      <c r="J94" s="458"/>
      <c r="K94" s="458"/>
      <c r="L94" s="458"/>
      <c r="M94" s="458"/>
      <c r="N94" s="458"/>
      <c r="O94" s="458"/>
      <c r="P94" s="458"/>
      <c r="Q94" s="458"/>
      <c r="R94" s="458"/>
      <c r="S94" s="458"/>
      <c r="T94" s="454"/>
      <c r="U94" s="454"/>
      <c r="V94" s="458"/>
      <c r="W94" s="458"/>
      <c r="X94" s="458"/>
      <c r="Y94" s="365"/>
      <c r="Z94" s="366"/>
    </row>
    <row r="95" spans="1:26" x14ac:dyDescent="0.2">
      <c r="A95" s="440" t="s">
        <v>912</v>
      </c>
      <c r="B95" s="440" t="s">
        <v>912</v>
      </c>
      <c r="C95" s="735" t="s">
        <v>913</v>
      </c>
      <c r="D95" s="736">
        <v>25000</v>
      </c>
      <c r="E95" s="741">
        <v>6559.06</v>
      </c>
      <c r="F95" s="738">
        <v>25000</v>
      </c>
      <c r="G95" s="739">
        <f t="shared" ref="G95:G103" si="26">F95*1/12</f>
        <v>2083.3333333333335</v>
      </c>
      <c r="H95" s="447">
        <v>500</v>
      </c>
      <c r="I95" s="740">
        <f t="shared" si="16"/>
        <v>4166.666666666667</v>
      </c>
      <c r="J95" s="447">
        <v>757.65</v>
      </c>
      <c r="K95" s="747">
        <f t="shared" si="25"/>
        <v>6250</v>
      </c>
      <c r="L95" s="447">
        <v>1582.96</v>
      </c>
      <c r="M95" s="447"/>
      <c r="N95" s="447"/>
      <c r="O95" s="447"/>
      <c r="P95" s="447"/>
      <c r="Q95" s="447"/>
      <c r="R95" s="447"/>
      <c r="S95" s="447"/>
      <c r="T95" s="447"/>
      <c r="U95" s="447"/>
      <c r="V95" s="447"/>
      <c r="W95" s="447"/>
      <c r="X95" s="447"/>
    </row>
    <row r="96" spans="1:26" x14ac:dyDescent="0.2">
      <c r="A96" s="440" t="s">
        <v>914</v>
      </c>
      <c r="B96" s="440" t="s">
        <v>914</v>
      </c>
      <c r="C96" s="735" t="s">
        <v>915</v>
      </c>
      <c r="D96" s="736">
        <v>2500</v>
      </c>
      <c r="E96" s="741">
        <v>1542.54</v>
      </c>
      <c r="F96" s="738">
        <v>2500</v>
      </c>
      <c r="G96" s="739">
        <f t="shared" si="26"/>
        <v>208.33333333333334</v>
      </c>
      <c r="H96" s="447">
        <v>0</v>
      </c>
      <c r="I96" s="740">
        <f t="shared" si="16"/>
        <v>416.66666666666669</v>
      </c>
      <c r="J96" s="447">
        <v>0</v>
      </c>
      <c r="K96" s="747">
        <f t="shared" si="25"/>
        <v>625</v>
      </c>
      <c r="L96" s="447">
        <v>0</v>
      </c>
      <c r="M96" s="447"/>
      <c r="N96" s="447"/>
      <c r="O96" s="447"/>
      <c r="P96" s="447"/>
      <c r="Q96" s="447"/>
      <c r="R96" s="447"/>
      <c r="S96" s="447"/>
      <c r="T96" s="447"/>
      <c r="U96" s="447"/>
      <c r="V96" s="447"/>
      <c r="W96" s="447"/>
      <c r="X96" s="447"/>
    </row>
    <row r="97" spans="1:26" x14ac:dyDescent="0.2">
      <c r="A97" s="440" t="s">
        <v>916</v>
      </c>
      <c r="B97" s="440" t="s">
        <v>912</v>
      </c>
      <c r="C97" s="735" t="s">
        <v>917</v>
      </c>
      <c r="D97" s="736">
        <v>6000</v>
      </c>
      <c r="E97" s="741">
        <v>2905.03</v>
      </c>
      <c r="F97" s="738">
        <v>6000</v>
      </c>
      <c r="G97" s="739">
        <f t="shared" si="26"/>
        <v>500</v>
      </c>
      <c r="H97" s="447">
        <v>0</v>
      </c>
      <c r="I97" s="740">
        <f t="shared" si="16"/>
        <v>1000</v>
      </c>
      <c r="J97" s="447">
        <v>1412.8</v>
      </c>
      <c r="K97" s="747">
        <f t="shared" si="25"/>
        <v>1500</v>
      </c>
      <c r="L97" s="447">
        <v>1412.8</v>
      </c>
      <c r="M97" s="447"/>
      <c r="N97" s="447"/>
      <c r="O97" s="447"/>
      <c r="P97" s="447"/>
      <c r="Q97" s="447"/>
      <c r="R97" s="447"/>
      <c r="S97" s="447"/>
      <c r="T97" s="447"/>
      <c r="U97" s="447"/>
      <c r="V97" s="447"/>
      <c r="W97" s="447"/>
      <c r="X97" s="447"/>
    </row>
    <row r="98" spans="1:26" x14ac:dyDescent="0.2">
      <c r="A98" s="440" t="s">
        <v>918</v>
      </c>
      <c r="B98" s="440" t="s">
        <v>912</v>
      </c>
      <c r="C98" s="735" t="s">
        <v>919</v>
      </c>
      <c r="D98" s="736">
        <v>7000</v>
      </c>
      <c r="E98" s="741">
        <v>3180.51</v>
      </c>
      <c r="F98" s="738">
        <v>7000</v>
      </c>
      <c r="G98" s="739">
        <f t="shared" si="26"/>
        <v>583.33333333333337</v>
      </c>
      <c r="H98" s="447">
        <v>0</v>
      </c>
      <c r="I98" s="740">
        <f t="shared" si="16"/>
        <v>1166.6666666666667</v>
      </c>
      <c r="J98" s="447">
        <v>286.89999999999998</v>
      </c>
      <c r="K98" s="747">
        <f t="shared" si="25"/>
        <v>1750</v>
      </c>
      <c r="L98" s="447">
        <v>797.58</v>
      </c>
      <c r="M98" s="447"/>
      <c r="N98" s="447"/>
      <c r="O98" s="447"/>
      <c r="P98" s="447"/>
      <c r="Q98" s="447"/>
      <c r="R98" s="447"/>
      <c r="S98" s="447"/>
      <c r="T98" s="447"/>
      <c r="U98" s="447"/>
      <c r="V98" s="447"/>
      <c r="W98" s="447"/>
      <c r="X98" s="747"/>
    </row>
    <row r="99" spans="1:26" x14ac:dyDescent="0.2">
      <c r="A99" s="752" t="s">
        <v>920</v>
      </c>
      <c r="B99" s="752" t="s">
        <v>914</v>
      </c>
      <c r="C99" s="753" t="s">
        <v>921</v>
      </c>
      <c r="D99" s="754">
        <v>500</v>
      </c>
      <c r="E99" s="741">
        <v>0</v>
      </c>
      <c r="F99" s="755">
        <v>500</v>
      </c>
      <c r="G99" s="756">
        <f t="shared" si="26"/>
        <v>41.666666666666664</v>
      </c>
      <c r="H99" s="757">
        <v>0</v>
      </c>
      <c r="I99" s="758">
        <f t="shared" si="16"/>
        <v>83.333333333333329</v>
      </c>
      <c r="J99" s="759">
        <v>0</v>
      </c>
      <c r="K99" s="760">
        <f t="shared" si="25"/>
        <v>125</v>
      </c>
      <c r="L99" s="759">
        <v>0</v>
      </c>
      <c r="M99" s="759"/>
      <c r="N99" s="759"/>
      <c r="O99" s="759"/>
      <c r="P99" s="759"/>
      <c r="Q99" s="759"/>
      <c r="R99" s="759"/>
      <c r="S99" s="759"/>
      <c r="T99" s="759"/>
      <c r="U99" s="759"/>
      <c r="V99" s="759"/>
      <c r="W99" s="759"/>
      <c r="X99" s="759"/>
    </row>
    <row r="100" spans="1:26" x14ac:dyDescent="0.2">
      <c r="A100" s="761" t="s">
        <v>922</v>
      </c>
      <c r="B100" s="761" t="s">
        <v>912</v>
      </c>
      <c r="C100" s="762" t="s">
        <v>923</v>
      </c>
      <c r="D100" s="763">
        <v>1000</v>
      </c>
      <c r="E100" s="764">
        <v>360</v>
      </c>
      <c r="F100" s="765">
        <v>1000</v>
      </c>
      <c r="G100" s="756">
        <f t="shared" si="26"/>
        <v>83.333333333333329</v>
      </c>
      <c r="H100" s="766">
        <v>0</v>
      </c>
      <c r="I100" s="758">
        <f t="shared" si="16"/>
        <v>166.66666666666666</v>
      </c>
      <c r="J100" s="759">
        <v>160</v>
      </c>
      <c r="K100" s="760">
        <f t="shared" si="25"/>
        <v>250</v>
      </c>
      <c r="L100" s="759">
        <v>352</v>
      </c>
      <c r="M100" s="759"/>
      <c r="N100" s="759"/>
      <c r="O100" s="759"/>
      <c r="P100" s="759"/>
      <c r="Q100" s="759"/>
      <c r="R100" s="759"/>
      <c r="S100" s="759"/>
      <c r="T100" s="759"/>
      <c r="U100" s="759"/>
      <c r="V100" s="759"/>
      <c r="W100" s="759"/>
      <c r="X100" s="759"/>
    </row>
    <row r="101" spans="1:26" x14ac:dyDescent="0.2">
      <c r="A101" s="761" t="s">
        <v>924</v>
      </c>
      <c r="B101" s="761" t="s">
        <v>912</v>
      </c>
      <c r="C101" s="762" t="s">
        <v>925</v>
      </c>
      <c r="D101" s="763">
        <v>500</v>
      </c>
      <c r="E101" s="764">
        <v>482.45</v>
      </c>
      <c r="F101" s="765">
        <v>500</v>
      </c>
      <c r="G101" s="756">
        <f t="shared" si="26"/>
        <v>41.666666666666664</v>
      </c>
      <c r="H101" s="766">
        <v>0</v>
      </c>
      <c r="I101" s="758">
        <f t="shared" si="16"/>
        <v>83.333333333333329</v>
      </c>
      <c r="J101" s="759">
        <v>0</v>
      </c>
      <c r="K101" s="760">
        <f t="shared" si="25"/>
        <v>125</v>
      </c>
      <c r="L101" s="759">
        <v>0</v>
      </c>
      <c r="M101" s="759"/>
      <c r="N101" s="759"/>
      <c r="O101" s="759"/>
      <c r="P101" s="759"/>
      <c r="Q101" s="759"/>
      <c r="R101" s="759"/>
      <c r="S101" s="759"/>
      <c r="T101" s="759"/>
      <c r="U101" s="759"/>
      <c r="V101" s="759"/>
      <c r="W101" s="759"/>
      <c r="X101" s="759"/>
    </row>
    <row r="102" spans="1:26" x14ac:dyDescent="0.2">
      <c r="A102" s="761" t="s">
        <v>926</v>
      </c>
      <c r="B102" s="761" t="s">
        <v>914</v>
      </c>
      <c r="C102" s="762" t="s">
        <v>927</v>
      </c>
      <c r="D102" s="763">
        <v>100</v>
      </c>
      <c r="E102" s="764">
        <v>0</v>
      </c>
      <c r="F102" s="765">
        <v>100</v>
      </c>
      <c r="G102" s="756">
        <f t="shared" si="26"/>
        <v>8.3333333333333339</v>
      </c>
      <c r="H102" s="766">
        <v>0</v>
      </c>
      <c r="I102" s="758">
        <f t="shared" si="16"/>
        <v>16.666666666666668</v>
      </c>
      <c r="J102" s="759">
        <v>0</v>
      </c>
      <c r="K102" s="760">
        <f t="shared" si="25"/>
        <v>25</v>
      </c>
      <c r="L102" s="759">
        <v>0</v>
      </c>
      <c r="M102" s="759"/>
      <c r="N102" s="759"/>
      <c r="O102" s="759"/>
      <c r="P102" s="759"/>
      <c r="Q102" s="759"/>
      <c r="R102" s="759"/>
      <c r="S102" s="759"/>
      <c r="T102" s="759"/>
      <c r="U102" s="759"/>
      <c r="V102" s="759"/>
      <c r="W102" s="759"/>
      <c r="X102" s="759"/>
    </row>
    <row r="103" spans="1:26" x14ac:dyDescent="0.2">
      <c r="A103" s="767" t="s">
        <v>928</v>
      </c>
      <c r="B103" s="767" t="s">
        <v>912</v>
      </c>
      <c r="C103" s="768" t="s">
        <v>929</v>
      </c>
      <c r="D103" s="769">
        <v>250</v>
      </c>
      <c r="E103" s="764">
        <v>0</v>
      </c>
      <c r="F103" s="770">
        <v>250</v>
      </c>
      <c r="G103" s="756">
        <f t="shared" si="26"/>
        <v>20.833333333333332</v>
      </c>
      <c r="H103" s="771">
        <v>0</v>
      </c>
      <c r="I103" s="758">
        <f t="shared" si="16"/>
        <v>41.666666666666664</v>
      </c>
      <c r="J103" s="759">
        <v>0</v>
      </c>
      <c r="K103" s="760">
        <f t="shared" si="25"/>
        <v>62.5</v>
      </c>
      <c r="L103" s="759">
        <v>0</v>
      </c>
      <c r="M103" s="759"/>
      <c r="N103" s="759"/>
      <c r="O103" s="759"/>
      <c r="P103" s="759"/>
      <c r="Q103" s="759"/>
      <c r="R103" s="759"/>
      <c r="S103" s="759"/>
      <c r="T103" s="759"/>
      <c r="U103" s="759"/>
      <c r="V103" s="759"/>
      <c r="W103" s="759"/>
      <c r="X103" s="759"/>
    </row>
    <row r="104" spans="1:26" s="367" customFormat="1" x14ac:dyDescent="0.2">
      <c r="A104" s="772" t="s">
        <v>930</v>
      </c>
      <c r="B104" s="772"/>
      <c r="C104" s="773" t="s">
        <v>931</v>
      </c>
      <c r="D104" s="774"/>
      <c r="E104" s="775"/>
      <c r="F104" s="776"/>
      <c r="G104" s="776"/>
      <c r="H104" s="777"/>
      <c r="I104" s="777"/>
      <c r="J104" s="778"/>
      <c r="K104" s="778"/>
      <c r="L104" s="778"/>
      <c r="M104" s="778"/>
      <c r="N104" s="778"/>
      <c r="O104" s="778"/>
      <c r="P104" s="778"/>
      <c r="Q104" s="778"/>
      <c r="R104" s="778"/>
      <c r="S104" s="778"/>
      <c r="T104" s="779"/>
      <c r="U104" s="779"/>
      <c r="V104" s="779"/>
      <c r="W104" s="779"/>
      <c r="X104" s="779"/>
      <c r="Y104" s="365"/>
      <c r="Z104" s="366"/>
    </row>
    <row r="105" spans="1:26" x14ac:dyDescent="0.2">
      <c r="A105" s="780" t="s">
        <v>932</v>
      </c>
      <c r="B105" s="780" t="s">
        <v>932</v>
      </c>
      <c r="C105" s="781" t="s">
        <v>933</v>
      </c>
      <c r="D105" s="782">
        <v>10000</v>
      </c>
      <c r="E105" s="764">
        <v>3531.01</v>
      </c>
      <c r="F105" s="783">
        <v>10000</v>
      </c>
      <c r="G105" s="756">
        <f t="shared" ref="G105:G107" si="27">F105*1/12</f>
        <v>833.33333333333337</v>
      </c>
      <c r="H105" s="784">
        <v>128.30000000000001</v>
      </c>
      <c r="I105" s="758">
        <f t="shared" si="16"/>
        <v>1666.6666666666667</v>
      </c>
      <c r="J105" s="759">
        <v>369.7</v>
      </c>
      <c r="K105" s="760">
        <f t="shared" si="25"/>
        <v>2500</v>
      </c>
      <c r="L105" s="759">
        <v>449.5</v>
      </c>
      <c r="M105" s="759"/>
      <c r="N105" s="759"/>
      <c r="O105" s="759"/>
      <c r="P105" s="759"/>
      <c r="Q105" s="759"/>
      <c r="R105" s="759"/>
      <c r="S105" s="759"/>
      <c r="T105" s="759"/>
      <c r="U105" s="759"/>
      <c r="V105" s="759"/>
      <c r="W105" s="759"/>
      <c r="X105" s="759"/>
    </row>
    <row r="106" spans="1:26" x14ac:dyDescent="0.2">
      <c r="A106" s="780" t="s">
        <v>934</v>
      </c>
      <c r="B106" s="780" t="s">
        <v>934</v>
      </c>
      <c r="C106" s="781" t="s">
        <v>935</v>
      </c>
      <c r="D106" s="782">
        <v>1000</v>
      </c>
      <c r="E106" s="764">
        <v>0</v>
      </c>
      <c r="F106" s="783">
        <v>1000</v>
      </c>
      <c r="G106" s="756">
        <f t="shared" si="27"/>
        <v>83.333333333333329</v>
      </c>
      <c r="H106" s="784">
        <v>0</v>
      </c>
      <c r="I106" s="758">
        <f t="shared" si="16"/>
        <v>166.66666666666666</v>
      </c>
      <c r="J106" s="759">
        <v>0</v>
      </c>
      <c r="K106" s="760">
        <f t="shared" si="25"/>
        <v>250</v>
      </c>
      <c r="L106" s="759">
        <v>0</v>
      </c>
      <c r="M106" s="759"/>
      <c r="N106" s="759"/>
      <c r="O106" s="759"/>
      <c r="P106" s="759"/>
      <c r="Q106" s="759"/>
      <c r="R106" s="759"/>
      <c r="S106" s="759"/>
      <c r="T106" s="759"/>
      <c r="U106" s="759"/>
      <c r="V106" s="759"/>
      <c r="W106" s="759"/>
      <c r="X106" s="759"/>
    </row>
    <row r="107" spans="1:26" x14ac:dyDescent="0.2">
      <c r="A107" s="780" t="s">
        <v>936</v>
      </c>
      <c r="B107" s="780" t="s">
        <v>932</v>
      </c>
      <c r="C107" s="781" t="s">
        <v>937</v>
      </c>
      <c r="D107" s="782">
        <v>3500</v>
      </c>
      <c r="E107" s="764">
        <v>1551.23</v>
      </c>
      <c r="F107" s="783">
        <v>3500</v>
      </c>
      <c r="G107" s="756">
        <f t="shared" si="27"/>
        <v>291.66666666666669</v>
      </c>
      <c r="H107" s="784">
        <v>64</v>
      </c>
      <c r="I107" s="758">
        <f t="shared" si="16"/>
        <v>583.33333333333337</v>
      </c>
      <c r="J107" s="759">
        <v>160</v>
      </c>
      <c r="K107" s="760">
        <f t="shared" si="25"/>
        <v>875</v>
      </c>
      <c r="L107" s="759">
        <v>256</v>
      </c>
      <c r="M107" s="759"/>
      <c r="N107" s="759"/>
      <c r="O107" s="759"/>
      <c r="P107" s="759"/>
      <c r="Q107" s="759"/>
      <c r="R107" s="759"/>
      <c r="S107" s="759"/>
      <c r="T107" s="759"/>
      <c r="U107" s="759"/>
      <c r="V107" s="759"/>
      <c r="W107" s="759"/>
      <c r="X107" s="760"/>
    </row>
    <row r="108" spans="1:26" s="367" customFormat="1" x14ac:dyDescent="0.2">
      <c r="A108" s="772" t="s">
        <v>938</v>
      </c>
      <c r="B108" s="772"/>
      <c r="C108" s="773" t="s">
        <v>939</v>
      </c>
      <c r="D108" s="774"/>
      <c r="E108" s="775"/>
      <c r="F108" s="776"/>
      <c r="G108" s="776"/>
      <c r="H108" s="777"/>
      <c r="I108" s="777"/>
      <c r="J108" s="778"/>
      <c r="K108" s="778"/>
      <c r="L108" s="778"/>
      <c r="M108" s="778"/>
      <c r="N108" s="778"/>
      <c r="O108" s="778"/>
      <c r="P108" s="778"/>
      <c r="Q108" s="778"/>
      <c r="R108" s="778"/>
      <c r="S108" s="778"/>
      <c r="T108" s="779"/>
      <c r="U108" s="779"/>
      <c r="V108" s="779"/>
      <c r="W108" s="779"/>
      <c r="X108" s="779"/>
      <c r="Y108" s="365"/>
      <c r="Z108" s="366"/>
    </row>
    <row r="109" spans="1:26" x14ac:dyDescent="0.2">
      <c r="A109" s="780" t="s">
        <v>940</v>
      </c>
      <c r="B109" s="780" t="s">
        <v>940</v>
      </c>
      <c r="C109" s="781" t="s">
        <v>941</v>
      </c>
      <c r="D109" s="782">
        <v>500</v>
      </c>
      <c r="E109" s="764">
        <v>24.9</v>
      </c>
      <c r="F109" s="783">
        <v>500</v>
      </c>
      <c r="G109" s="756">
        <f t="shared" ref="G109:G114" si="28">F109*1/12</f>
        <v>41.666666666666664</v>
      </c>
      <c r="H109" s="785">
        <v>0</v>
      </c>
      <c r="I109" s="758">
        <f t="shared" si="16"/>
        <v>83.333333333333329</v>
      </c>
      <c r="J109" s="759">
        <v>0</v>
      </c>
      <c r="K109" s="760">
        <f t="shared" si="25"/>
        <v>125</v>
      </c>
      <c r="L109" s="759">
        <v>0</v>
      </c>
      <c r="M109" s="759"/>
      <c r="N109" s="759"/>
      <c r="O109" s="759"/>
      <c r="P109" s="759"/>
      <c r="Q109" s="759"/>
      <c r="R109" s="759"/>
      <c r="S109" s="759"/>
      <c r="T109" s="759"/>
      <c r="U109" s="759"/>
      <c r="V109" s="759"/>
      <c r="W109" s="759"/>
      <c r="X109" s="759"/>
    </row>
    <row r="110" spans="1:26" x14ac:dyDescent="0.2">
      <c r="A110" s="780" t="s">
        <v>942</v>
      </c>
      <c r="B110" s="780" t="s">
        <v>942</v>
      </c>
      <c r="C110" s="781" t="s">
        <v>943</v>
      </c>
      <c r="D110" s="782">
        <v>0</v>
      </c>
      <c r="E110" s="764">
        <v>0</v>
      </c>
      <c r="F110" s="783">
        <v>0</v>
      </c>
      <c r="G110" s="756">
        <f t="shared" si="28"/>
        <v>0</v>
      </c>
      <c r="H110" s="785">
        <v>0</v>
      </c>
      <c r="I110" s="758">
        <f t="shared" si="16"/>
        <v>0</v>
      </c>
      <c r="J110" s="759">
        <v>0</v>
      </c>
      <c r="K110" s="760">
        <f t="shared" si="25"/>
        <v>0</v>
      </c>
      <c r="L110" s="759">
        <v>0</v>
      </c>
      <c r="M110" s="759"/>
      <c r="N110" s="759"/>
      <c r="O110" s="759"/>
      <c r="P110" s="759"/>
      <c r="Q110" s="759"/>
      <c r="R110" s="759"/>
      <c r="S110" s="759"/>
      <c r="T110" s="759"/>
      <c r="U110" s="759"/>
      <c r="V110" s="759"/>
      <c r="W110" s="759"/>
      <c r="X110" s="759"/>
    </row>
    <row r="111" spans="1:26" x14ac:dyDescent="0.2">
      <c r="A111" s="780" t="s">
        <v>944</v>
      </c>
      <c r="B111" s="780" t="s">
        <v>940</v>
      </c>
      <c r="C111" s="781" t="s">
        <v>945</v>
      </c>
      <c r="D111" s="782">
        <v>100</v>
      </c>
      <c r="E111" s="764">
        <v>0</v>
      </c>
      <c r="F111" s="783">
        <v>100</v>
      </c>
      <c r="G111" s="756">
        <f t="shared" si="28"/>
        <v>8.3333333333333339</v>
      </c>
      <c r="H111" s="785">
        <v>0</v>
      </c>
      <c r="I111" s="758">
        <f t="shared" si="16"/>
        <v>16.666666666666668</v>
      </c>
      <c r="J111" s="759">
        <v>0</v>
      </c>
      <c r="K111" s="760">
        <f t="shared" si="25"/>
        <v>25</v>
      </c>
      <c r="L111" s="759">
        <v>0</v>
      </c>
      <c r="M111" s="759"/>
      <c r="N111" s="759"/>
      <c r="O111" s="759"/>
      <c r="P111" s="759"/>
      <c r="Q111" s="759"/>
      <c r="R111" s="759"/>
      <c r="S111" s="759"/>
      <c r="T111" s="759"/>
      <c r="U111" s="759"/>
      <c r="V111" s="759"/>
      <c r="W111" s="759"/>
      <c r="X111" s="759"/>
    </row>
    <row r="112" spans="1:26" x14ac:dyDescent="0.2">
      <c r="A112" s="780" t="s">
        <v>946</v>
      </c>
      <c r="B112" s="780" t="s">
        <v>940</v>
      </c>
      <c r="C112" s="781" t="s">
        <v>947</v>
      </c>
      <c r="D112" s="782">
        <v>300</v>
      </c>
      <c r="E112" s="764">
        <v>0</v>
      </c>
      <c r="F112" s="783">
        <v>300</v>
      </c>
      <c r="G112" s="756">
        <f t="shared" si="28"/>
        <v>25</v>
      </c>
      <c r="H112" s="785">
        <v>0</v>
      </c>
      <c r="I112" s="758">
        <f t="shared" si="16"/>
        <v>50</v>
      </c>
      <c r="J112" s="759">
        <v>0</v>
      </c>
      <c r="K112" s="760">
        <f t="shared" si="25"/>
        <v>75</v>
      </c>
      <c r="L112" s="759">
        <v>0</v>
      </c>
      <c r="M112" s="759"/>
      <c r="N112" s="759"/>
      <c r="O112" s="759"/>
      <c r="P112" s="759"/>
      <c r="Q112" s="759"/>
      <c r="R112" s="759"/>
      <c r="S112" s="759"/>
      <c r="T112" s="759"/>
      <c r="U112" s="759"/>
      <c r="V112" s="759"/>
      <c r="W112" s="759"/>
      <c r="X112" s="759"/>
    </row>
    <row r="113" spans="1:26" x14ac:dyDescent="0.2">
      <c r="A113" s="780" t="s">
        <v>948</v>
      </c>
      <c r="B113" s="780" t="s">
        <v>942</v>
      </c>
      <c r="C113" s="781" t="s">
        <v>949</v>
      </c>
      <c r="D113" s="782">
        <v>160</v>
      </c>
      <c r="E113" s="764">
        <v>0</v>
      </c>
      <c r="F113" s="783">
        <v>160</v>
      </c>
      <c r="G113" s="756">
        <f t="shared" si="28"/>
        <v>13.333333333333334</v>
      </c>
      <c r="H113" s="785">
        <v>0</v>
      </c>
      <c r="I113" s="758">
        <f t="shared" si="16"/>
        <v>26.666666666666668</v>
      </c>
      <c r="J113" s="759">
        <v>0</v>
      </c>
      <c r="K113" s="760">
        <f t="shared" si="25"/>
        <v>40</v>
      </c>
      <c r="L113" s="759">
        <v>0</v>
      </c>
      <c r="M113" s="759"/>
      <c r="N113" s="759"/>
      <c r="O113" s="759"/>
      <c r="P113" s="759"/>
      <c r="Q113" s="759"/>
      <c r="R113" s="759"/>
      <c r="S113" s="759"/>
      <c r="T113" s="759"/>
      <c r="U113" s="759"/>
      <c r="V113" s="759"/>
      <c r="W113" s="759"/>
      <c r="X113" s="759"/>
    </row>
    <row r="114" spans="1:26" x14ac:dyDescent="0.2">
      <c r="A114" s="780" t="s">
        <v>950</v>
      </c>
      <c r="B114" s="780" t="s">
        <v>940</v>
      </c>
      <c r="C114" s="781" t="s">
        <v>951</v>
      </c>
      <c r="D114" s="782">
        <v>200</v>
      </c>
      <c r="E114" s="764">
        <v>0</v>
      </c>
      <c r="F114" s="783">
        <v>200</v>
      </c>
      <c r="G114" s="756">
        <f t="shared" si="28"/>
        <v>16.666666666666668</v>
      </c>
      <c r="H114" s="785">
        <v>0</v>
      </c>
      <c r="I114" s="758">
        <f t="shared" si="16"/>
        <v>33.333333333333336</v>
      </c>
      <c r="J114" s="759">
        <v>0</v>
      </c>
      <c r="K114" s="760">
        <f t="shared" si="25"/>
        <v>50</v>
      </c>
      <c r="L114" s="759">
        <v>0</v>
      </c>
      <c r="M114" s="759"/>
      <c r="N114" s="759"/>
      <c r="O114" s="759"/>
      <c r="P114" s="759"/>
      <c r="Q114" s="759"/>
      <c r="R114" s="759"/>
      <c r="S114" s="759"/>
      <c r="T114" s="759"/>
      <c r="U114" s="759"/>
      <c r="V114" s="759"/>
      <c r="W114" s="759"/>
      <c r="X114" s="759"/>
    </row>
    <row r="115" spans="1:26" s="367" customFormat="1" x14ac:dyDescent="0.2">
      <c r="A115" s="772" t="s">
        <v>952</v>
      </c>
      <c r="B115" s="772"/>
      <c r="C115" s="773" t="s">
        <v>953</v>
      </c>
      <c r="D115" s="774"/>
      <c r="E115" s="775"/>
      <c r="F115" s="776"/>
      <c r="G115" s="776"/>
      <c r="H115" s="777"/>
      <c r="I115" s="777"/>
      <c r="J115" s="778"/>
      <c r="K115" s="778"/>
      <c r="L115" s="778"/>
      <c r="M115" s="778"/>
      <c r="N115" s="778"/>
      <c r="O115" s="778"/>
      <c r="P115" s="778"/>
      <c r="Q115" s="778"/>
      <c r="R115" s="778"/>
      <c r="S115" s="778"/>
      <c r="T115" s="778"/>
      <c r="U115" s="778"/>
      <c r="V115" s="779"/>
      <c r="W115" s="779"/>
      <c r="X115" s="779"/>
      <c r="Y115" s="365"/>
      <c r="Z115" s="366"/>
    </row>
    <row r="116" spans="1:26" x14ac:dyDescent="0.2">
      <c r="A116" s="786" t="s">
        <v>954</v>
      </c>
      <c r="B116" s="786" t="s">
        <v>1283</v>
      </c>
      <c r="C116" s="787" t="s">
        <v>955</v>
      </c>
      <c r="D116" s="782">
        <v>1500</v>
      </c>
      <c r="E116" s="764">
        <v>296</v>
      </c>
      <c r="F116" s="783">
        <v>1500</v>
      </c>
      <c r="G116" s="756">
        <f t="shared" ref="G116:G117" si="29">F116*1/12</f>
        <v>125</v>
      </c>
      <c r="H116" s="788">
        <v>0</v>
      </c>
      <c r="I116" s="758">
        <f t="shared" si="16"/>
        <v>250</v>
      </c>
      <c r="J116" s="759">
        <v>9</v>
      </c>
      <c r="K116" s="760">
        <f t="shared" si="25"/>
        <v>375</v>
      </c>
      <c r="L116" s="759">
        <v>9</v>
      </c>
      <c r="M116" s="759"/>
      <c r="N116" s="759"/>
      <c r="O116" s="759"/>
      <c r="P116" s="759"/>
      <c r="Q116" s="759"/>
      <c r="R116" s="759"/>
      <c r="S116" s="759"/>
      <c r="T116" s="759"/>
      <c r="U116" s="759"/>
      <c r="V116" s="759"/>
      <c r="W116" s="759"/>
      <c r="X116" s="759"/>
    </row>
    <row r="117" spans="1:26" x14ac:dyDescent="0.2">
      <c r="A117" s="786" t="s">
        <v>956</v>
      </c>
      <c r="B117" s="786" t="s">
        <v>1283</v>
      </c>
      <c r="C117" s="787" t="s">
        <v>957</v>
      </c>
      <c r="D117" s="782">
        <v>100</v>
      </c>
      <c r="E117" s="764">
        <v>0</v>
      </c>
      <c r="F117" s="783">
        <v>100</v>
      </c>
      <c r="G117" s="756">
        <f t="shared" si="29"/>
        <v>8.3333333333333339</v>
      </c>
      <c r="H117" s="788">
        <v>0</v>
      </c>
      <c r="I117" s="758">
        <f t="shared" si="16"/>
        <v>16.666666666666668</v>
      </c>
      <c r="J117" s="759">
        <v>0</v>
      </c>
      <c r="K117" s="760">
        <f t="shared" si="25"/>
        <v>25</v>
      </c>
      <c r="L117" s="759">
        <v>0</v>
      </c>
      <c r="M117" s="759"/>
      <c r="N117" s="759"/>
      <c r="O117" s="759"/>
      <c r="P117" s="759"/>
      <c r="Q117" s="759"/>
      <c r="R117" s="759"/>
      <c r="S117" s="759"/>
      <c r="T117" s="759"/>
      <c r="U117" s="759"/>
      <c r="V117" s="759"/>
      <c r="W117" s="759"/>
      <c r="X117" s="759"/>
    </row>
    <row r="118" spans="1:26" s="367" customFormat="1" x14ac:dyDescent="0.2">
      <c r="A118" s="772" t="s">
        <v>958</v>
      </c>
      <c r="B118" s="772"/>
      <c r="C118" s="773" t="s">
        <v>959</v>
      </c>
      <c r="D118" s="774"/>
      <c r="E118" s="775"/>
      <c r="F118" s="776"/>
      <c r="G118" s="776"/>
      <c r="H118" s="777"/>
      <c r="I118" s="777"/>
      <c r="J118" s="778"/>
      <c r="K118" s="778"/>
      <c r="L118" s="778"/>
      <c r="M118" s="778"/>
      <c r="N118" s="778"/>
      <c r="O118" s="778"/>
      <c r="P118" s="778"/>
      <c r="Q118" s="778"/>
      <c r="R118" s="778"/>
      <c r="S118" s="778"/>
      <c r="T118" s="778"/>
      <c r="U118" s="778"/>
      <c r="V118" s="779"/>
      <c r="W118" s="779"/>
      <c r="X118" s="779"/>
      <c r="Y118" s="365"/>
      <c r="Z118" s="366"/>
    </row>
    <row r="119" spans="1:26" x14ac:dyDescent="0.2">
      <c r="A119" s="786" t="s">
        <v>259</v>
      </c>
      <c r="B119" s="786" t="s">
        <v>257</v>
      </c>
      <c r="C119" s="787" t="s">
        <v>960</v>
      </c>
      <c r="D119" s="782">
        <v>2500</v>
      </c>
      <c r="E119" s="764">
        <v>732.35</v>
      </c>
      <c r="F119" s="783">
        <v>2500</v>
      </c>
      <c r="G119" s="756">
        <f t="shared" ref="G119:G121" si="30">F119*1/12</f>
        <v>208.33333333333334</v>
      </c>
      <c r="H119" s="759">
        <v>30.39</v>
      </c>
      <c r="I119" s="758">
        <f t="shared" si="16"/>
        <v>416.66666666666669</v>
      </c>
      <c r="J119" s="759">
        <v>121.59</v>
      </c>
      <c r="K119" s="760">
        <f>F119*3/12</f>
        <v>625</v>
      </c>
      <c r="L119" s="759">
        <v>206</v>
      </c>
      <c r="M119" s="759"/>
      <c r="N119" s="759"/>
      <c r="O119" s="759"/>
      <c r="P119" s="759"/>
      <c r="Q119" s="759"/>
      <c r="R119" s="759"/>
      <c r="S119" s="759"/>
      <c r="T119" s="759"/>
      <c r="U119" s="759"/>
      <c r="V119" s="759"/>
      <c r="W119" s="760"/>
      <c r="X119" s="760"/>
    </row>
    <row r="120" spans="1:26" x14ac:dyDescent="0.2">
      <c r="A120" s="786" t="s">
        <v>260</v>
      </c>
      <c r="B120" s="786" t="s">
        <v>257</v>
      </c>
      <c r="C120" s="787" t="s">
        <v>961</v>
      </c>
      <c r="D120" s="782">
        <v>2500</v>
      </c>
      <c r="E120" s="764">
        <v>1810.85</v>
      </c>
      <c r="F120" s="783">
        <v>2500</v>
      </c>
      <c r="G120" s="756">
        <f t="shared" si="30"/>
        <v>208.33333333333334</v>
      </c>
      <c r="H120" s="759">
        <v>30.38</v>
      </c>
      <c r="I120" s="758">
        <f t="shared" si="16"/>
        <v>416.66666666666669</v>
      </c>
      <c r="J120" s="759">
        <v>173.17</v>
      </c>
      <c r="K120" s="760">
        <f t="shared" ref="K120:K121" si="31">F120*3/12</f>
        <v>625</v>
      </c>
      <c r="L120" s="759">
        <v>486.77</v>
      </c>
      <c r="M120" s="759"/>
      <c r="N120" s="759"/>
      <c r="O120" s="759"/>
      <c r="P120" s="759"/>
      <c r="Q120" s="759"/>
      <c r="R120" s="759"/>
      <c r="S120" s="759"/>
      <c r="T120" s="759"/>
      <c r="U120" s="759"/>
      <c r="V120" s="759"/>
      <c r="W120" s="759"/>
      <c r="X120" s="759"/>
    </row>
    <row r="121" spans="1:26" x14ac:dyDescent="0.2">
      <c r="A121" s="786" t="s">
        <v>263</v>
      </c>
      <c r="B121" s="786" t="s">
        <v>257</v>
      </c>
      <c r="C121" s="787" t="s">
        <v>962</v>
      </c>
      <c r="D121" s="782">
        <v>100</v>
      </c>
      <c r="E121" s="764">
        <v>0</v>
      </c>
      <c r="F121" s="783">
        <v>100</v>
      </c>
      <c r="G121" s="756">
        <f t="shared" si="30"/>
        <v>8.3333333333333339</v>
      </c>
      <c r="H121" s="759">
        <v>0</v>
      </c>
      <c r="I121" s="758">
        <f t="shared" si="16"/>
        <v>16.666666666666668</v>
      </c>
      <c r="J121" s="759">
        <v>0</v>
      </c>
      <c r="K121" s="760">
        <f t="shared" si="31"/>
        <v>25</v>
      </c>
      <c r="L121" s="759">
        <v>0</v>
      </c>
      <c r="M121" s="759"/>
      <c r="N121" s="759"/>
      <c r="O121" s="759"/>
      <c r="P121" s="759"/>
      <c r="Q121" s="759"/>
      <c r="R121" s="759"/>
      <c r="S121" s="759"/>
      <c r="T121" s="759"/>
      <c r="U121" s="759"/>
      <c r="V121" s="759"/>
      <c r="W121" s="759"/>
      <c r="X121" s="759"/>
    </row>
    <row r="122" spans="1:26" s="367" customFormat="1" x14ac:dyDescent="0.2">
      <c r="A122" s="772"/>
      <c r="B122" s="772"/>
      <c r="C122" s="773" t="s">
        <v>963</v>
      </c>
      <c r="D122" s="774"/>
      <c r="E122" s="775"/>
      <c r="F122" s="776"/>
      <c r="G122" s="776"/>
      <c r="H122" s="777"/>
      <c r="I122" s="777"/>
      <c r="J122" s="778"/>
      <c r="K122" s="778"/>
      <c r="L122" s="778"/>
      <c r="M122" s="778"/>
      <c r="N122" s="778"/>
      <c r="O122" s="778"/>
      <c r="P122" s="778"/>
      <c r="Q122" s="778"/>
      <c r="R122" s="778"/>
      <c r="S122" s="778"/>
      <c r="T122" s="779"/>
      <c r="U122" s="779"/>
      <c r="V122" s="778"/>
      <c r="W122" s="779"/>
      <c r="X122" s="779"/>
      <c r="Y122" s="365"/>
      <c r="Z122" s="366"/>
    </row>
    <row r="123" spans="1:26" x14ac:dyDescent="0.2">
      <c r="A123" s="786" t="s">
        <v>287</v>
      </c>
      <c r="B123" s="786" t="s">
        <v>285</v>
      </c>
      <c r="C123" s="787" t="s">
        <v>964</v>
      </c>
      <c r="D123" s="782">
        <v>155000</v>
      </c>
      <c r="E123" s="764">
        <v>126134.02</v>
      </c>
      <c r="F123" s="783">
        <v>155000</v>
      </c>
      <c r="G123" s="756">
        <f t="shared" ref="G123:G126" si="32">F123*1/12</f>
        <v>12916.666666666666</v>
      </c>
      <c r="H123" s="788">
        <v>0</v>
      </c>
      <c r="I123" s="758">
        <f t="shared" ref="I123:I179" si="33">F123*2/12</f>
        <v>25833.333333333332</v>
      </c>
      <c r="J123" s="759">
        <v>0</v>
      </c>
      <c r="K123" s="760">
        <f>F123*3/12</f>
        <v>38750</v>
      </c>
      <c r="L123" s="759">
        <v>0</v>
      </c>
      <c r="M123" s="759"/>
      <c r="N123" s="759"/>
      <c r="O123" s="759"/>
      <c r="P123" s="759"/>
      <c r="Q123" s="759"/>
      <c r="R123" s="759"/>
      <c r="S123" s="759"/>
      <c r="T123" s="759"/>
      <c r="U123" s="759"/>
      <c r="V123" s="759"/>
      <c r="W123" s="759"/>
      <c r="X123" s="759"/>
    </row>
    <row r="124" spans="1:26" x14ac:dyDescent="0.2">
      <c r="A124" s="786" t="s">
        <v>288</v>
      </c>
      <c r="B124" s="786" t="s">
        <v>285</v>
      </c>
      <c r="C124" s="787" t="s">
        <v>965</v>
      </c>
      <c r="D124" s="782">
        <v>205000</v>
      </c>
      <c r="E124" s="764">
        <v>185309.52</v>
      </c>
      <c r="F124" s="783">
        <v>205000</v>
      </c>
      <c r="G124" s="756">
        <f t="shared" si="32"/>
        <v>17083.333333333332</v>
      </c>
      <c r="H124" s="788">
        <v>0</v>
      </c>
      <c r="I124" s="758">
        <f t="shared" si="33"/>
        <v>34166.666666666664</v>
      </c>
      <c r="J124" s="759">
        <v>0</v>
      </c>
      <c r="K124" s="760">
        <f t="shared" ref="K124:K126" si="34">F124*3/12</f>
        <v>51250</v>
      </c>
      <c r="L124" s="759">
        <v>0</v>
      </c>
      <c r="M124" s="759"/>
      <c r="N124" s="759"/>
      <c r="O124" s="759"/>
      <c r="P124" s="759"/>
      <c r="Q124" s="759"/>
      <c r="R124" s="759"/>
      <c r="S124" s="759"/>
      <c r="T124" s="759"/>
      <c r="U124" s="759"/>
      <c r="V124" s="759"/>
      <c r="W124" s="759"/>
      <c r="X124" s="759"/>
    </row>
    <row r="125" spans="1:26" x14ac:dyDescent="0.2">
      <c r="A125" s="786" t="s">
        <v>290</v>
      </c>
      <c r="B125" s="786" t="s">
        <v>285</v>
      </c>
      <c r="C125" s="787" t="s">
        <v>966</v>
      </c>
      <c r="D125" s="782">
        <v>2000</v>
      </c>
      <c r="E125" s="764">
        <v>1208.06</v>
      </c>
      <c r="F125" s="783">
        <v>2000</v>
      </c>
      <c r="G125" s="756">
        <f t="shared" si="32"/>
        <v>166.66666666666666</v>
      </c>
      <c r="H125" s="788">
        <v>0</v>
      </c>
      <c r="I125" s="758">
        <f t="shared" si="33"/>
        <v>333.33333333333331</v>
      </c>
      <c r="J125" s="759">
        <v>0</v>
      </c>
      <c r="K125" s="760">
        <f t="shared" si="34"/>
        <v>500</v>
      </c>
      <c r="L125" s="759">
        <v>231.39</v>
      </c>
      <c r="M125" s="759"/>
      <c r="N125" s="759"/>
      <c r="O125" s="759"/>
      <c r="P125" s="759"/>
      <c r="Q125" s="759"/>
      <c r="R125" s="759"/>
      <c r="S125" s="759"/>
      <c r="T125" s="759"/>
      <c r="U125" s="759"/>
      <c r="V125" s="759"/>
      <c r="W125" s="759"/>
      <c r="X125" s="759"/>
    </row>
    <row r="126" spans="1:26" x14ac:dyDescent="0.2">
      <c r="A126" s="786" t="s">
        <v>292</v>
      </c>
      <c r="B126" s="786" t="s">
        <v>285</v>
      </c>
      <c r="C126" s="787" t="s">
        <v>967</v>
      </c>
      <c r="D126" s="782">
        <v>2000</v>
      </c>
      <c r="E126" s="764">
        <v>0</v>
      </c>
      <c r="F126" s="783">
        <v>2000</v>
      </c>
      <c r="G126" s="756">
        <f t="shared" si="32"/>
        <v>166.66666666666666</v>
      </c>
      <c r="H126" s="788">
        <v>0</v>
      </c>
      <c r="I126" s="758">
        <f t="shared" si="33"/>
        <v>333.33333333333331</v>
      </c>
      <c r="J126" s="759">
        <v>0</v>
      </c>
      <c r="K126" s="760">
        <f t="shared" si="34"/>
        <v>500</v>
      </c>
      <c r="L126" s="759">
        <v>0</v>
      </c>
      <c r="M126" s="759"/>
      <c r="N126" s="759"/>
      <c r="O126" s="759"/>
      <c r="P126" s="759"/>
      <c r="Q126" s="759"/>
      <c r="R126" s="759"/>
      <c r="S126" s="759"/>
      <c r="T126" s="759"/>
      <c r="U126" s="759"/>
      <c r="V126" s="759"/>
      <c r="W126" s="759"/>
      <c r="X126" s="759"/>
    </row>
    <row r="127" spans="1:26" s="367" customFormat="1" x14ac:dyDescent="0.2">
      <c r="A127" s="772" t="s">
        <v>968</v>
      </c>
      <c r="B127" s="772"/>
      <c r="C127" s="773" t="s">
        <v>969</v>
      </c>
      <c r="D127" s="774"/>
      <c r="E127" s="789"/>
      <c r="F127" s="776"/>
      <c r="G127" s="776"/>
      <c r="H127" s="777"/>
      <c r="I127" s="777"/>
      <c r="J127" s="777"/>
      <c r="K127" s="777"/>
      <c r="L127" s="777"/>
      <c r="M127" s="778"/>
      <c r="N127" s="778"/>
      <c r="O127" s="778"/>
      <c r="P127" s="778"/>
      <c r="Q127" s="777"/>
      <c r="R127" s="777"/>
      <c r="S127" s="777"/>
      <c r="T127" s="790"/>
      <c r="U127" s="790"/>
      <c r="V127" s="777"/>
      <c r="W127" s="790"/>
      <c r="X127" s="790"/>
      <c r="Y127" s="365"/>
      <c r="Z127" s="366"/>
    </row>
    <row r="128" spans="1:26" x14ac:dyDescent="0.2">
      <c r="A128" s="786" t="s">
        <v>970</v>
      </c>
      <c r="B128" s="786" t="s">
        <v>285</v>
      </c>
      <c r="C128" s="787" t="s">
        <v>664</v>
      </c>
      <c r="D128" s="782">
        <v>500</v>
      </c>
      <c r="E128" s="791">
        <v>0</v>
      </c>
      <c r="F128" s="783">
        <v>500</v>
      </c>
      <c r="G128" s="756">
        <f t="shared" ref="G128:G130" si="35">F128*1/12</f>
        <v>41.666666666666664</v>
      </c>
      <c r="H128" s="788">
        <v>0</v>
      </c>
      <c r="I128" s="758">
        <f t="shared" si="33"/>
        <v>83.333333333333329</v>
      </c>
      <c r="J128" s="788">
        <v>0</v>
      </c>
      <c r="K128" s="758">
        <f>F128*3/12</f>
        <v>125</v>
      </c>
      <c r="L128" s="788">
        <v>0</v>
      </c>
      <c r="M128" s="759"/>
      <c r="N128" s="759"/>
      <c r="O128" s="759"/>
      <c r="P128" s="759"/>
      <c r="Q128" s="788"/>
      <c r="R128" s="788"/>
      <c r="S128" s="788"/>
      <c r="T128" s="788"/>
      <c r="U128" s="788"/>
      <c r="V128" s="759"/>
      <c r="W128" s="788"/>
      <c r="X128" s="788"/>
    </row>
    <row r="129" spans="1:26" x14ac:dyDescent="0.2">
      <c r="A129" s="786" t="s">
        <v>971</v>
      </c>
      <c r="B129" s="786" t="s">
        <v>285</v>
      </c>
      <c r="C129" s="787" t="s">
        <v>315</v>
      </c>
      <c r="D129" s="782">
        <v>200</v>
      </c>
      <c r="E129" s="791">
        <v>0</v>
      </c>
      <c r="F129" s="783">
        <v>200</v>
      </c>
      <c r="G129" s="756">
        <f t="shared" si="35"/>
        <v>16.666666666666668</v>
      </c>
      <c r="H129" s="788">
        <v>0</v>
      </c>
      <c r="I129" s="758">
        <f t="shared" si="33"/>
        <v>33.333333333333336</v>
      </c>
      <c r="J129" s="788">
        <v>0</v>
      </c>
      <c r="K129" s="758">
        <f t="shared" ref="K129:K130" si="36">F129*3/12</f>
        <v>50</v>
      </c>
      <c r="L129" s="788">
        <v>0</v>
      </c>
      <c r="M129" s="759"/>
      <c r="N129" s="759"/>
      <c r="O129" s="759"/>
      <c r="P129" s="759"/>
      <c r="Q129" s="788"/>
      <c r="R129" s="788"/>
      <c r="S129" s="788"/>
      <c r="T129" s="788"/>
      <c r="U129" s="788"/>
      <c r="V129" s="788"/>
      <c r="W129" s="788"/>
      <c r="X129" s="788"/>
    </row>
    <row r="130" spans="1:26" x14ac:dyDescent="0.2">
      <c r="A130" s="786" t="s">
        <v>972</v>
      </c>
      <c r="B130" s="786" t="s">
        <v>285</v>
      </c>
      <c r="C130" s="787" t="s">
        <v>973</v>
      </c>
      <c r="D130" s="782">
        <v>500</v>
      </c>
      <c r="E130" s="791">
        <v>480</v>
      </c>
      <c r="F130" s="783">
        <v>500</v>
      </c>
      <c r="G130" s="756">
        <f t="shared" si="35"/>
        <v>41.666666666666664</v>
      </c>
      <c r="H130" s="788">
        <v>0</v>
      </c>
      <c r="I130" s="758">
        <f t="shared" si="33"/>
        <v>83.333333333333329</v>
      </c>
      <c r="J130" s="788">
        <v>0</v>
      </c>
      <c r="K130" s="758">
        <f t="shared" si="36"/>
        <v>125</v>
      </c>
      <c r="L130" s="788">
        <v>0</v>
      </c>
      <c r="M130" s="759"/>
      <c r="N130" s="759"/>
      <c r="O130" s="759"/>
      <c r="P130" s="759"/>
      <c r="Q130" s="788"/>
      <c r="R130" s="788"/>
      <c r="S130" s="788"/>
      <c r="T130" s="788"/>
      <c r="U130" s="788"/>
      <c r="V130" s="788"/>
      <c r="W130" s="788"/>
      <c r="X130" s="788"/>
    </row>
    <row r="131" spans="1:26" s="367" customFormat="1" x14ac:dyDescent="0.2">
      <c r="A131" s="772" t="s">
        <v>974</v>
      </c>
      <c r="B131" s="772"/>
      <c r="C131" s="773" t="s">
        <v>975</v>
      </c>
      <c r="D131" s="774"/>
      <c r="E131" s="792"/>
      <c r="F131" s="776"/>
      <c r="G131" s="776"/>
      <c r="H131" s="777"/>
      <c r="I131" s="777"/>
      <c r="J131" s="777"/>
      <c r="K131" s="777"/>
      <c r="L131" s="777"/>
      <c r="M131" s="778"/>
      <c r="N131" s="778"/>
      <c r="O131" s="778"/>
      <c r="P131" s="778"/>
      <c r="Q131" s="777"/>
      <c r="R131" s="777"/>
      <c r="S131" s="777"/>
      <c r="T131" s="790"/>
      <c r="U131" s="790"/>
      <c r="V131" s="777"/>
      <c r="W131" s="777"/>
      <c r="X131" s="777"/>
      <c r="Y131" s="365"/>
      <c r="Z131" s="366"/>
    </row>
    <row r="132" spans="1:26" x14ac:dyDescent="0.2">
      <c r="A132" s="761" t="s">
        <v>976</v>
      </c>
      <c r="B132" s="761" t="s">
        <v>1284</v>
      </c>
      <c r="C132" s="762" t="s">
        <v>977</v>
      </c>
      <c r="D132" s="782">
        <v>500</v>
      </c>
      <c r="E132" s="791">
        <v>0</v>
      </c>
      <c r="F132" s="783">
        <v>500</v>
      </c>
      <c r="G132" s="756">
        <f t="shared" ref="G132:G135" si="37">F132*1/12</f>
        <v>41.666666666666664</v>
      </c>
      <c r="H132" s="788">
        <v>0</v>
      </c>
      <c r="I132" s="758">
        <f t="shared" si="33"/>
        <v>83.333333333333329</v>
      </c>
      <c r="J132" s="788">
        <v>0</v>
      </c>
      <c r="K132" s="758">
        <f>F132*3/12</f>
        <v>125</v>
      </c>
      <c r="L132" s="788">
        <v>0</v>
      </c>
      <c r="M132" s="759"/>
      <c r="N132" s="759"/>
      <c r="O132" s="759"/>
      <c r="P132" s="759"/>
      <c r="Q132" s="788"/>
      <c r="R132" s="788"/>
      <c r="S132" s="788"/>
      <c r="T132" s="788"/>
      <c r="U132" s="788"/>
      <c r="V132" s="788"/>
      <c r="W132" s="788"/>
      <c r="X132" s="788"/>
    </row>
    <row r="133" spans="1:26" x14ac:dyDescent="0.2">
      <c r="A133" s="761" t="s">
        <v>978</v>
      </c>
      <c r="B133" s="761" t="s">
        <v>1284</v>
      </c>
      <c r="C133" s="762" t="s">
        <v>979</v>
      </c>
      <c r="D133" s="782">
        <v>500</v>
      </c>
      <c r="E133" s="791">
        <v>0</v>
      </c>
      <c r="F133" s="783">
        <v>500</v>
      </c>
      <c r="G133" s="756">
        <f t="shared" si="37"/>
        <v>41.666666666666664</v>
      </c>
      <c r="H133" s="788">
        <v>0</v>
      </c>
      <c r="I133" s="758">
        <f t="shared" si="33"/>
        <v>83.333333333333329</v>
      </c>
      <c r="J133" s="788">
        <v>0</v>
      </c>
      <c r="K133" s="758">
        <f t="shared" ref="K133:K135" si="38">F133*3/12</f>
        <v>125</v>
      </c>
      <c r="L133" s="788">
        <v>0</v>
      </c>
      <c r="M133" s="759"/>
      <c r="N133" s="759"/>
      <c r="O133" s="759"/>
      <c r="P133" s="759"/>
      <c r="Q133" s="788"/>
      <c r="R133" s="788"/>
      <c r="S133" s="788"/>
      <c r="T133" s="788"/>
      <c r="U133" s="788"/>
      <c r="V133" s="788"/>
      <c r="W133" s="788"/>
      <c r="X133" s="788"/>
    </row>
    <row r="134" spans="1:26" x14ac:dyDescent="0.2">
      <c r="A134" s="761" t="s">
        <v>980</v>
      </c>
      <c r="B134" s="761" t="s">
        <v>1284</v>
      </c>
      <c r="C134" s="762" t="s">
        <v>981</v>
      </c>
      <c r="D134" s="782">
        <v>800</v>
      </c>
      <c r="E134" s="791">
        <v>0</v>
      </c>
      <c r="F134" s="783">
        <v>800</v>
      </c>
      <c r="G134" s="756">
        <f t="shared" si="37"/>
        <v>66.666666666666671</v>
      </c>
      <c r="H134" s="788">
        <v>0</v>
      </c>
      <c r="I134" s="758">
        <f t="shared" si="33"/>
        <v>133.33333333333334</v>
      </c>
      <c r="J134" s="788">
        <v>0</v>
      </c>
      <c r="K134" s="758">
        <f t="shared" si="38"/>
        <v>200</v>
      </c>
      <c r="L134" s="788">
        <v>0</v>
      </c>
      <c r="M134" s="759"/>
      <c r="N134" s="759"/>
      <c r="O134" s="759"/>
      <c r="P134" s="759"/>
      <c r="Q134" s="788"/>
      <c r="R134" s="788"/>
      <c r="S134" s="788"/>
      <c r="T134" s="788"/>
      <c r="U134" s="788"/>
      <c r="V134" s="788"/>
      <c r="W134" s="788"/>
      <c r="X134" s="788"/>
    </row>
    <row r="135" spans="1:26" x14ac:dyDescent="0.2">
      <c r="A135" s="761" t="s">
        <v>982</v>
      </c>
      <c r="B135" s="761" t="s">
        <v>1284</v>
      </c>
      <c r="C135" s="762" t="s">
        <v>983</v>
      </c>
      <c r="D135" s="782">
        <v>100</v>
      </c>
      <c r="E135" s="791">
        <v>0</v>
      </c>
      <c r="F135" s="783">
        <v>100</v>
      </c>
      <c r="G135" s="756">
        <f t="shared" si="37"/>
        <v>8.3333333333333339</v>
      </c>
      <c r="H135" s="788">
        <v>0</v>
      </c>
      <c r="I135" s="758">
        <f t="shared" si="33"/>
        <v>16.666666666666668</v>
      </c>
      <c r="J135" s="788">
        <v>0</v>
      </c>
      <c r="K135" s="758">
        <f t="shared" si="38"/>
        <v>25</v>
      </c>
      <c r="L135" s="788">
        <v>0</v>
      </c>
      <c r="M135" s="759"/>
      <c r="N135" s="759"/>
      <c r="O135" s="759"/>
      <c r="P135" s="759"/>
      <c r="Q135" s="788"/>
      <c r="R135" s="788"/>
      <c r="S135" s="788"/>
      <c r="T135" s="788"/>
      <c r="U135" s="788"/>
      <c r="V135" s="788"/>
      <c r="W135" s="788"/>
      <c r="X135" s="788"/>
    </row>
    <row r="136" spans="1:26" x14ac:dyDescent="0.2">
      <c r="A136" s="767" t="s">
        <v>855</v>
      </c>
      <c r="B136" s="767" t="s">
        <v>855</v>
      </c>
      <c r="C136" s="768" t="s">
        <v>984</v>
      </c>
      <c r="D136" s="782"/>
      <c r="E136" s="791"/>
      <c r="F136" s="783"/>
      <c r="G136" s="756"/>
      <c r="H136" s="788"/>
      <c r="I136" s="758"/>
      <c r="J136" s="788"/>
      <c r="K136" s="758"/>
      <c r="L136" s="788"/>
      <c r="M136" s="759"/>
      <c r="N136" s="759"/>
      <c r="O136" s="759"/>
      <c r="P136" s="759"/>
      <c r="Q136" s="788"/>
      <c r="R136" s="788"/>
      <c r="S136" s="788"/>
      <c r="T136" s="788"/>
      <c r="U136" s="788"/>
      <c r="V136" s="788"/>
      <c r="W136" s="788"/>
      <c r="X136" s="788"/>
    </row>
    <row r="137" spans="1:26" s="367" customFormat="1" x14ac:dyDescent="0.2">
      <c r="A137" s="772" t="s">
        <v>985</v>
      </c>
      <c r="B137" s="772"/>
      <c r="C137" s="773" t="s">
        <v>986</v>
      </c>
      <c r="D137" s="774"/>
      <c r="E137" s="792"/>
      <c r="F137" s="776"/>
      <c r="G137" s="776"/>
      <c r="H137" s="777"/>
      <c r="I137" s="777"/>
      <c r="J137" s="778"/>
      <c r="K137" s="778"/>
      <c r="L137" s="778"/>
      <c r="M137" s="778"/>
      <c r="N137" s="778"/>
      <c r="O137" s="778"/>
      <c r="P137" s="778"/>
      <c r="Q137" s="777"/>
      <c r="R137" s="777"/>
      <c r="S137" s="777"/>
      <c r="T137" s="790"/>
      <c r="U137" s="790"/>
      <c r="V137" s="777"/>
      <c r="W137" s="777"/>
      <c r="X137" s="777"/>
      <c r="Y137" s="365"/>
      <c r="Z137" s="366"/>
    </row>
    <row r="138" spans="1:26" s="367" customFormat="1" x14ac:dyDescent="0.2">
      <c r="A138" s="772" t="s">
        <v>987</v>
      </c>
      <c r="B138" s="772" t="s">
        <v>1285</v>
      </c>
      <c r="C138" s="773" t="s">
        <v>988</v>
      </c>
      <c r="D138" s="774"/>
      <c r="E138" s="792"/>
      <c r="F138" s="776"/>
      <c r="G138" s="776"/>
      <c r="H138" s="777"/>
      <c r="I138" s="777"/>
      <c r="J138" s="778"/>
      <c r="K138" s="778"/>
      <c r="L138" s="778"/>
      <c r="M138" s="778"/>
      <c r="N138" s="778"/>
      <c r="O138" s="778"/>
      <c r="P138" s="778"/>
      <c r="Q138" s="777"/>
      <c r="R138" s="777"/>
      <c r="S138" s="777"/>
      <c r="T138" s="790"/>
      <c r="U138" s="790"/>
      <c r="V138" s="777"/>
      <c r="W138" s="777"/>
      <c r="X138" s="777"/>
      <c r="Y138" s="365"/>
      <c r="Z138" s="366"/>
    </row>
    <row r="139" spans="1:26" x14ac:dyDescent="0.2">
      <c r="A139" s="786" t="s">
        <v>439</v>
      </c>
      <c r="B139" s="786" t="s">
        <v>1285</v>
      </c>
      <c r="C139" s="787" t="s">
        <v>440</v>
      </c>
      <c r="D139" s="782">
        <v>800</v>
      </c>
      <c r="E139" s="764">
        <v>800</v>
      </c>
      <c r="F139" s="783">
        <v>800</v>
      </c>
      <c r="G139" s="756">
        <f t="shared" ref="G139:G140" si="39">F139*1/12</f>
        <v>66.666666666666671</v>
      </c>
      <c r="H139" s="788">
        <v>0</v>
      </c>
      <c r="I139" s="758">
        <f t="shared" si="33"/>
        <v>133.33333333333334</v>
      </c>
      <c r="J139" s="759">
        <v>0</v>
      </c>
      <c r="K139" s="760">
        <f>F139*3/12</f>
        <v>200</v>
      </c>
      <c r="L139" s="759">
        <v>0</v>
      </c>
      <c r="M139" s="759"/>
      <c r="N139" s="759"/>
      <c r="O139" s="759"/>
      <c r="P139" s="759"/>
      <c r="Q139" s="759"/>
      <c r="R139" s="759"/>
      <c r="S139" s="759"/>
      <c r="T139" s="759"/>
      <c r="U139" s="759"/>
      <c r="V139" s="759"/>
      <c r="W139" s="759"/>
      <c r="X139" s="759"/>
    </row>
    <row r="140" spans="1:26" x14ac:dyDescent="0.2">
      <c r="A140" s="786" t="s">
        <v>442</v>
      </c>
      <c r="B140" s="786" t="s">
        <v>1285</v>
      </c>
      <c r="C140" s="787" t="s">
        <v>443</v>
      </c>
      <c r="D140" s="782">
        <v>500</v>
      </c>
      <c r="E140" s="793">
        <v>595</v>
      </c>
      <c r="F140" s="783">
        <v>500</v>
      </c>
      <c r="G140" s="756">
        <f t="shared" si="39"/>
        <v>41.666666666666664</v>
      </c>
      <c r="H140" s="788">
        <v>0</v>
      </c>
      <c r="I140" s="758">
        <f t="shared" si="33"/>
        <v>83.333333333333329</v>
      </c>
      <c r="J140" s="759">
        <v>0</v>
      </c>
      <c r="K140" s="760">
        <f>F140*3/12</f>
        <v>125</v>
      </c>
      <c r="L140" s="759">
        <v>0</v>
      </c>
      <c r="M140" s="759"/>
      <c r="N140" s="794"/>
      <c r="O140" s="794"/>
      <c r="P140" s="794"/>
      <c r="Q140" s="794"/>
      <c r="R140" s="794"/>
      <c r="S140" s="794"/>
      <c r="T140" s="794"/>
      <c r="U140" s="794"/>
      <c r="V140" s="794"/>
      <c r="W140" s="794"/>
      <c r="X140" s="759"/>
    </row>
    <row r="141" spans="1:26" s="367" customFormat="1" x14ac:dyDescent="0.2">
      <c r="A141" s="772" t="s">
        <v>989</v>
      </c>
      <c r="B141" s="772"/>
      <c r="C141" s="773" t="s">
        <v>990</v>
      </c>
      <c r="D141" s="774"/>
      <c r="E141" s="795"/>
      <c r="F141" s="776"/>
      <c r="G141" s="776"/>
      <c r="H141" s="777"/>
      <c r="I141" s="777"/>
      <c r="J141" s="778"/>
      <c r="K141" s="778"/>
      <c r="L141" s="778"/>
      <c r="M141" s="796"/>
      <c r="N141" s="796"/>
      <c r="O141" s="778"/>
      <c r="P141" s="778"/>
      <c r="Q141" s="778"/>
      <c r="R141" s="778"/>
      <c r="S141" s="778"/>
      <c r="T141" s="779"/>
      <c r="U141" s="779"/>
      <c r="V141" s="779"/>
      <c r="W141" s="778"/>
      <c r="X141" s="778"/>
      <c r="Y141" s="365"/>
      <c r="Z141" s="366"/>
    </row>
    <row r="142" spans="1:26" x14ac:dyDescent="0.2">
      <c r="A142" s="786" t="s">
        <v>445</v>
      </c>
      <c r="B142" s="786" t="s">
        <v>1286</v>
      </c>
      <c r="C142" s="787" t="s">
        <v>991</v>
      </c>
      <c r="D142" s="782">
        <v>300</v>
      </c>
      <c r="E142" s="793">
        <v>504.35</v>
      </c>
      <c r="F142" s="783">
        <v>300</v>
      </c>
      <c r="G142" s="756">
        <f t="shared" ref="G142:G144" si="40">F142*1/12</f>
        <v>25</v>
      </c>
      <c r="H142" s="788">
        <v>0</v>
      </c>
      <c r="I142" s="758">
        <f t="shared" si="33"/>
        <v>50</v>
      </c>
      <c r="J142" s="759">
        <v>0</v>
      </c>
      <c r="K142" s="760">
        <f>F142*3/12</f>
        <v>75</v>
      </c>
      <c r="L142" s="759">
        <v>0</v>
      </c>
      <c r="M142" s="794"/>
      <c r="N142" s="794"/>
      <c r="O142" s="794"/>
      <c r="P142" s="794"/>
      <c r="Q142" s="794"/>
      <c r="R142" s="794"/>
      <c r="S142" s="794"/>
      <c r="T142" s="794"/>
      <c r="U142" s="794"/>
      <c r="V142" s="794"/>
      <c r="W142" s="794"/>
      <c r="X142" s="759"/>
    </row>
    <row r="143" spans="1:26" x14ac:dyDescent="0.2">
      <c r="A143" s="786" t="s">
        <v>448</v>
      </c>
      <c r="B143" s="786" t="s">
        <v>1286</v>
      </c>
      <c r="C143" s="787" t="s">
        <v>992</v>
      </c>
      <c r="D143" s="782">
        <v>0</v>
      </c>
      <c r="E143" s="764">
        <v>8062.25</v>
      </c>
      <c r="F143" s="783">
        <v>0</v>
      </c>
      <c r="G143" s="756">
        <f t="shared" si="40"/>
        <v>0</v>
      </c>
      <c r="H143" s="788">
        <v>0</v>
      </c>
      <c r="I143" s="758">
        <f t="shared" si="33"/>
        <v>0</v>
      </c>
      <c r="J143" s="759">
        <v>0</v>
      </c>
      <c r="K143" s="760">
        <f t="shared" ref="K143:K179" si="41">F143*3/12</f>
        <v>0</v>
      </c>
      <c r="L143" s="759">
        <v>0</v>
      </c>
      <c r="M143" s="794"/>
      <c r="N143" s="794"/>
      <c r="O143" s="794"/>
      <c r="P143" s="794"/>
      <c r="Q143" s="794"/>
      <c r="R143" s="794"/>
      <c r="S143" s="794"/>
      <c r="T143" s="759"/>
      <c r="U143" s="759"/>
      <c r="V143" s="759"/>
      <c r="W143" s="759"/>
      <c r="X143" s="759"/>
    </row>
    <row r="144" spans="1:26" x14ac:dyDescent="0.2">
      <c r="A144" s="786" t="s">
        <v>993</v>
      </c>
      <c r="B144" s="786" t="s">
        <v>1286</v>
      </c>
      <c r="C144" s="787" t="s">
        <v>994</v>
      </c>
      <c r="D144" s="782">
        <v>100</v>
      </c>
      <c r="E144" s="793">
        <v>312</v>
      </c>
      <c r="F144" s="783">
        <v>100</v>
      </c>
      <c r="G144" s="756">
        <f t="shared" si="40"/>
        <v>8.3333333333333339</v>
      </c>
      <c r="H144" s="759">
        <v>0</v>
      </c>
      <c r="I144" s="758">
        <f t="shared" si="33"/>
        <v>16.666666666666668</v>
      </c>
      <c r="J144" s="759">
        <v>0</v>
      </c>
      <c r="K144" s="760">
        <f t="shared" si="41"/>
        <v>25</v>
      </c>
      <c r="L144" s="759">
        <v>0</v>
      </c>
      <c r="M144" s="794"/>
      <c r="N144" s="794"/>
      <c r="O144" s="794"/>
      <c r="P144" s="794"/>
      <c r="Q144" s="794"/>
      <c r="R144" s="794"/>
      <c r="S144" s="794"/>
      <c r="T144" s="794"/>
      <c r="U144" s="794"/>
      <c r="V144" s="794"/>
      <c r="W144" s="794"/>
      <c r="X144" s="759"/>
    </row>
    <row r="145" spans="1:26" s="367" customFormat="1" x14ac:dyDescent="0.2">
      <c r="A145" s="772" t="s">
        <v>995</v>
      </c>
      <c r="B145" s="772"/>
      <c r="C145" s="773" t="s">
        <v>996</v>
      </c>
      <c r="D145" s="774"/>
      <c r="E145" s="795"/>
      <c r="F145" s="776"/>
      <c r="G145" s="776"/>
      <c r="H145" s="777"/>
      <c r="I145" s="777"/>
      <c r="J145" s="778"/>
      <c r="K145" s="778"/>
      <c r="L145" s="778"/>
      <c r="M145" s="778"/>
      <c r="N145" s="778"/>
      <c r="O145" s="778"/>
      <c r="P145" s="778"/>
      <c r="Q145" s="778"/>
      <c r="R145" s="778"/>
      <c r="S145" s="778"/>
      <c r="T145" s="778"/>
      <c r="U145" s="778"/>
      <c r="V145" s="778"/>
      <c r="W145" s="778"/>
      <c r="X145" s="778"/>
      <c r="Y145" s="365"/>
      <c r="Z145" s="366"/>
    </row>
    <row r="146" spans="1:26" x14ac:dyDescent="0.2">
      <c r="A146" s="786" t="s">
        <v>457</v>
      </c>
      <c r="B146" s="786" t="s">
        <v>1287</v>
      </c>
      <c r="C146" s="787" t="s">
        <v>997</v>
      </c>
      <c r="D146" s="782">
        <v>0</v>
      </c>
      <c r="E146" s="791">
        <v>0</v>
      </c>
      <c r="F146" s="783">
        <v>0</v>
      </c>
      <c r="G146" s="756">
        <f t="shared" ref="G146:G149" si="42">F146*1/12</f>
        <v>0</v>
      </c>
      <c r="H146" s="788">
        <v>0</v>
      </c>
      <c r="I146" s="758">
        <f t="shared" si="33"/>
        <v>0</v>
      </c>
      <c r="J146" s="759">
        <v>0</v>
      </c>
      <c r="K146" s="760">
        <f t="shared" si="41"/>
        <v>0</v>
      </c>
      <c r="L146" s="759">
        <v>0</v>
      </c>
      <c r="M146" s="759"/>
      <c r="N146" s="759"/>
      <c r="O146" s="759"/>
      <c r="P146" s="759"/>
      <c r="Q146" s="759"/>
      <c r="R146" s="788"/>
      <c r="S146" s="788"/>
      <c r="T146" s="788"/>
      <c r="U146" s="788"/>
      <c r="V146" s="788"/>
      <c r="W146" s="788"/>
      <c r="X146" s="788"/>
    </row>
    <row r="147" spans="1:26" x14ac:dyDescent="0.2">
      <c r="A147" s="786" t="s">
        <v>454</v>
      </c>
      <c r="B147" s="786" t="s">
        <v>1287</v>
      </c>
      <c r="C147" s="787" t="s">
        <v>998</v>
      </c>
      <c r="D147" s="782">
        <v>0</v>
      </c>
      <c r="E147" s="791">
        <v>0</v>
      </c>
      <c r="F147" s="783">
        <v>0</v>
      </c>
      <c r="G147" s="756">
        <f t="shared" si="42"/>
        <v>0</v>
      </c>
      <c r="H147" s="788">
        <v>0</v>
      </c>
      <c r="I147" s="758">
        <f t="shared" si="33"/>
        <v>0</v>
      </c>
      <c r="J147" s="759">
        <v>0</v>
      </c>
      <c r="K147" s="760">
        <f t="shared" si="41"/>
        <v>0</v>
      </c>
      <c r="L147" s="759">
        <v>0</v>
      </c>
      <c r="M147" s="759"/>
      <c r="N147" s="759"/>
      <c r="O147" s="759"/>
      <c r="P147" s="759"/>
      <c r="Q147" s="759"/>
      <c r="R147" s="788"/>
      <c r="S147" s="788"/>
      <c r="T147" s="788"/>
      <c r="U147" s="788"/>
      <c r="V147" s="788"/>
      <c r="W147" s="788"/>
      <c r="X147" s="788"/>
    </row>
    <row r="148" spans="1:26" x14ac:dyDescent="0.2">
      <c r="A148" s="786" t="s">
        <v>999</v>
      </c>
      <c r="B148" s="786" t="s">
        <v>1287</v>
      </c>
      <c r="C148" s="787" t="s">
        <v>464</v>
      </c>
      <c r="D148" s="782">
        <v>0</v>
      </c>
      <c r="E148" s="793">
        <v>29218</v>
      </c>
      <c r="F148" s="783">
        <v>0</v>
      </c>
      <c r="G148" s="756">
        <f t="shared" si="42"/>
        <v>0</v>
      </c>
      <c r="H148" s="759">
        <v>0</v>
      </c>
      <c r="I148" s="758">
        <f t="shared" si="33"/>
        <v>0</v>
      </c>
      <c r="J148" s="759">
        <v>0</v>
      </c>
      <c r="K148" s="760">
        <f t="shared" si="41"/>
        <v>0</v>
      </c>
      <c r="L148" s="759">
        <v>0</v>
      </c>
      <c r="M148" s="794"/>
      <c r="N148" s="794"/>
      <c r="O148" s="794"/>
      <c r="P148" s="794"/>
      <c r="Q148" s="794"/>
      <c r="R148" s="794"/>
      <c r="S148" s="794"/>
      <c r="T148" s="794"/>
      <c r="U148" s="794"/>
      <c r="V148" s="794"/>
      <c r="W148" s="794"/>
      <c r="X148" s="788"/>
    </row>
    <row r="149" spans="1:26" x14ac:dyDescent="0.2">
      <c r="A149" s="786" t="s">
        <v>460</v>
      </c>
      <c r="B149" s="786" t="s">
        <v>1287</v>
      </c>
      <c r="C149" s="787" t="s">
        <v>461</v>
      </c>
      <c r="D149" s="782">
        <v>0</v>
      </c>
      <c r="E149" s="793">
        <v>19.95</v>
      </c>
      <c r="F149" s="783">
        <v>0</v>
      </c>
      <c r="G149" s="756">
        <f t="shared" si="42"/>
        <v>0</v>
      </c>
      <c r="H149" s="759">
        <v>0</v>
      </c>
      <c r="I149" s="758">
        <f t="shared" si="33"/>
        <v>0</v>
      </c>
      <c r="J149" s="759">
        <v>0</v>
      </c>
      <c r="K149" s="760">
        <f t="shared" si="41"/>
        <v>0</v>
      </c>
      <c r="L149" s="759">
        <v>0</v>
      </c>
      <c r="M149" s="794"/>
      <c r="N149" s="794"/>
      <c r="O149" s="794"/>
      <c r="P149" s="794"/>
      <c r="Q149" s="794"/>
      <c r="R149" s="794"/>
      <c r="S149" s="794"/>
      <c r="T149" s="794"/>
      <c r="U149" s="794"/>
      <c r="V149" s="794"/>
      <c r="W149" s="794"/>
      <c r="X149" s="788"/>
    </row>
    <row r="150" spans="1:26" s="367" customFormat="1" x14ac:dyDescent="0.2">
      <c r="A150" s="772" t="s">
        <v>1000</v>
      </c>
      <c r="B150" s="772"/>
      <c r="C150" s="773" t="s">
        <v>1001</v>
      </c>
      <c r="D150" s="774"/>
      <c r="E150" s="792"/>
      <c r="F150" s="776"/>
      <c r="G150" s="776"/>
      <c r="H150" s="777"/>
      <c r="I150" s="777"/>
      <c r="J150" s="777"/>
      <c r="K150" s="778"/>
      <c r="L150" s="777"/>
      <c r="M150" s="777"/>
      <c r="N150" s="777"/>
      <c r="O150" s="777"/>
      <c r="P150" s="777"/>
      <c r="Q150" s="777"/>
      <c r="R150" s="777"/>
      <c r="S150" s="777"/>
      <c r="T150" s="777"/>
      <c r="U150" s="777"/>
      <c r="V150" s="777"/>
      <c r="W150" s="777"/>
      <c r="X150" s="777"/>
      <c r="Y150" s="365"/>
      <c r="Z150" s="366"/>
    </row>
    <row r="151" spans="1:26" x14ac:dyDescent="0.2">
      <c r="A151" s="786" t="s">
        <v>1002</v>
      </c>
      <c r="B151" s="786" t="s">
        <v>1002</v>
      </c>
      <c r="C151" s="787" t="s">
        <v>1003</v>
      </c>
      <c r="D151" s="782">
        <v>250</v>
      </c>
      <c r="E151" s="764">
        <v>40</v>
      </c>
      <c r="F151" s="783">
        <v>250</v>
      </c>
      <c r="G151" s="756">
        <f t="shared" ref="G151:G156" si="43">F151*1/12</f>
        <v>20.833333333333332</v>
      </c>
      <c r="H151" s="759">
        <v>0</v>
      </c>
      <c r="I151" s="758">
        <f t="shared" si="33"/>
        <v>41.666666666666664</v>
      </c>
      <c r="J151" s="759">
        <v>0</v>
      </c>
      <c r="K151" s="760">
        <f t="shared" si="41"/>
        <v>62.5</v>
      </c>
      <c r="L151" s="759">
        <v>0</v>
      </c>
      <c r="M151" s="759"/>
      <c r="N151" s="759"/>
      <c r="O151" s="759"/>
      <c r="P151" s="759"/>
      <c r="Q151" s="759"/>
      <c r="R151" s="759"/>
      <c r="S151" s="759"/>
      <c r="T151" s="759"/>
      <c r="U151" s="759"/>
      <c r="V151" s="759"/>
      <c r="W151" s="759"/>
      <c r="X151" s="759"/>
    </row>
    <row r="152" spans="1:26" x14ac:dyDescent="0.2">
      <c r="A152" s="786" t="s">
        <v>1004</v>
      </c>
      <c r="B152" s="786" t="s">
        <v>1004</v>
      </c>
      <c r="C152" s="787" t="s">
        <v>1005</v>
      </c>
      <c r="D152" s="782">
        <v>1000</v>
      </c>
      <c r="E152" s="764">
        <v>130.19999999999999</v>
      </c>
      <c r="F152" s="783">
        <v>1000</v>
      </c>
      <c r="G152" s="756">
        <f t="shared" si="43"/>
        <v>83.333333333333329</v>
      </c>
      <c r="H152" s="759">
        <v>0</v>
      </c>
      <c r="I152" s="758">
        <f t="shared" si="33"/>
        <v>166.66666666666666</v>
      </c>
      <c r="J152" s="759">
        <v>0</v>
      </c>
      <c r="K152" s="760">
        <f t="shared" si="41"/>
        <v>250</v>
      </c>
      <c r="L152" s="759">
        <v>0</v>
      </c>
      <c r="M152" s="759"/>
      <c r="N152" s="759"/>
      <c r="O152" s="759"/>
      <c r="P152" s="759"/>
      <c r="Q152" s="759"/>
      <c r="R152" s="759"/>
      <c r="S152" s="759"/>
      <c r="T152" s="759"/>
      <c r="U152" s="759"/>
      <c r="V152" s="759"/>
      <c r="W152" s="759"/>
      <c r="X152" s="759"/>
    </row>
    <row r="153" spans="1:26" x14ac:dyDescent="0.2">
      <c r="A153" s="786" t="s">
        <v>1006</v>
      </c>
      <c r="B153" s="786" t="s">
        <v>1006</v>
      </c>
      <c r="C153" s="787" t="s">
        <v>1007</v>
      </c>
      <c r="D153" s="782">
        <v>5000</v>
      </c>
      <c r="E153" s="764">
        <v>4462.2</v>
      </c>
      <c r="F153" s="783">
        <v>5000</v>
      </c>
      <c r="G153" s="756">
        <f t="shared" si="43"/>
        <v>416.66666666666669</v>
      </c>
      <c r="H153" s="759">
        <v>0</v>
      </c>
      <c r="I153" s="758">
        <f t="shared" si="33"/>
        <v>833.33333333333337</v>
      </c>
      <c r="J153" s="759">
        <v>0</v>
      </c>
      <c r="K153" s="760">
        <f t="shared" si="41"/>
        <v>1250</v>
      </c>
      <c r="L153" s="759">
        <v>0</v>
      </c>
      <c r="M153" s="759"/>
      <c r="N153" s="759"/>
      <c r="O153" s="759"/>
      <c r="P153" s="759"/>
      <c r="Q153" s="759"/>
      <c r="R153" s="759"/>
      <c r="S153" s="759"/>
      <c r="T153" s="759"/>
      <c r="U153" s="759"/>
      <c r="V153" s="759"/>
      <c r="W153" s="759"/>
      <c r="X153" s="759"/>
    </row>
    <row r="154" spans="1:26" x14ac:dyDescent="0.2">
      <c r="A154" s="786" t="s">
        <v>1008</v>
      </c>
      <c r="B154" s="786" t="s">
        <v>1008</v>
      </c>
      <c r="C154" s="787" t="s">
        <v>1009</v>
      </c>
      <c r="D154" s="782">
        <v>500</v>
      </c>
      <c r="E154" s="764">
        <v>468</v>
      </c>
      <c r="F154" s="783">
        <v>500</v>
      </c>
      <c r="G154" s="756">
        <f t="shared" si="43"/>
        <v>41.666666666666664</v>
      </c>
      <c r="H154" s="759">
        <v>39</v>
      </c>
      <c r="I154" s="758">
        <f t="shared" si="33"/>
        <v>83.333333333333329</v>
      </c>
      <c r="J154" s="759">
        <v>78</v>
      </c>
      <c r="K154" s="760">
        <f t="shared" si="41"/>
        <v>125</v>
      </c>
      <c r="L154" s="759">
        <v>78</v>
      </c>
      <c r="M154" s="759"/>
      <c r="N154" s="759"/>
      <c r="O154" s="759"/>
      <c r="P154" s="759"/>
      <c r="Q154" s="759"/>
      <c r="R154" s="759"/>
      <c r="S154" s="759"/>
      <c r="T154" s="759"/>
      <c r="U154" s="759"/>
      <c r="V154" s="759"/>
      <c r="W154" s="759"/>
      <c r="X154" s="759"/>
    </row>
    <row r="155" spans="1:26" x14ac:dyDescent="0.2">
      <c r="A155" s="786" t="s">
        <v>1010</v>
      </c>
      <c r="B155" s="786" t="s">
        <v>1004</v>
      </c>
      <c r="C155" s="787" t="s">
        <v>1011</v>
      </c>
      <c r="D155" s="782">
        <v>1500</v>
      </c>
      <c r="E155" s="764">
        <v>0</v>
      </c>
      <c r="F155" s="783">
        <v>1500</v>
      </c>
      <c r="G155" s="756">
        <f t="shared" si="43"/>
        <v>125</v>
      </c>
      <c r="H155" s="759">
        <v>0</v>
      </c>
      <c r="I155" s="758">
        <f t="shared" si="33"/>
        <v>250</v>
      </c>
      <c r="J155" s="759">
        <v>0</v>
      </c>
      <c r="K155" s="760">
        <f t="shared" si="41"/>
        <v>375</v>
      </c>
      <c r="L155" s="759">
        <v>0</v>
      </c>
      <c r="M155" s="759"/>
      <c r="N155" s="759"/>
      <c r="O155" s="759"/>
      <c r="P155" s="759"/>
      <c r="Q155" s="759"/>
      <c r="R155" s="759"/>
      <c r="S155" s="759"/>
      <c r="T155" s="759"/>
      <c r="U155" s="759"/>
      <c r="V155" s="759"/>
      <c r="W155" s="759"/>
      <c r="X155" s="760"/>
    </row>
    <row r="156" spans="1:26" x14ac:dyDescent="0.2">
      <c r="A156" s="786" t="s">
        <v>1012</v>
      </c>
      <c r="B156" s="786" t="s">
        <v>1008</v>
      </c>
      <c r="C156" s="787" t="s">
        <v>1013</v>
      </c>
      <c r="D156" s="782">
        <v>500</v>
      </c>
      <c r="E156" s="764">
        <v>0</v>
      </c>
      <c r="F156" s="783">
        <v>500</v>
      </c>
      <c r="G156" s="756">
        <f t="shared" si="43"/>
        <v>41.666666666666664</v>
      </c>
      <c r="H156" s="759">
        <v>0</v>
      </c>
      <c r="I156" s="758">
        <f t="shared" si="33"/>
        <v>83.333333333333329</v>
      </c>
      <c r="J156" s="759">
        <v>0</v>
      </c>
      <c r="K156" s="760">
        <f t="shared" si="41"/>
        <v>125</v>
      </c>
      <c r="L156" s="759">
        <v>0</v>
      </c>
      <c r="M156" s="759"/>
      <c r="N156" s="759"/>
      <c r="O156" s="759"/>
      <c r="P156" s="759"/>
      <c r="Q156" s="759"/>
      <c r="R156" s="759"/>
      <c r="S156" s="759"/>
      <c r="T156" s="759"/>
      <c r="U156" s="759"/>
      <c r="V156" s="759"/>
      <c r="W156" s="759"/>
      <c r="X156" s="760"/>
    </row>
    <row r="157" spans="1:26" x14ac:dyDescent="0.2">
      <c r="A157" s="797" t="s">
        <v>1014</v>
      </c>
      <c r="B157" s="798" t="s">
        <v>1288</v>
      </c>
      <c r="C157" s="799" t="s">
        <v>1015</v>
      </c>
      <c r="D157" s="774"/>
      <c r="E157" s="795"/>
      <c r="F157" s="776"/>
      <c r="G157" s="776"/>
      <c r="H157" s="790"/>
      <c r="I157" s="777"/>
      <c r="J157" s="800"/>
      <c r="K157" s="778"/>
      <c r="L157" s="800"/>
      <c r="M157" s="800"/>
      <c r="N157" s="800"/>
      <c r="O157" s="779"/>
      <c r="P157" s="779"/>
      <c r="Q157" s="779"/>
      <c r="R157" s="778"/>
      <c r="S157" s="778"/>
      <c r="T157" s="778"/>
      <c r="U157" s="778"/>
      <c r="V157" s="778"/>
      <c r="W157" s="778"/>
      <c r="X157" s="778"/>
    </row>
    <row r="158" spans="1:26" s="367" customFormat="1" x14ac:dyDescent="0.2">
      <c r="A158" s="772" t="s">
        <v>1016</v>
      </c>
      <c r="B158" s="772"/>
      <c r="C158" s="773" t="s">
        <v>1017</v>
      </c>
      <c r="D158" s="774"/>
      <c r="E158" s="792"/>
      <c r="F158" s="776"/>
      <c r="G158" s="776"/>
      <c r="H158" s="777"/>
      <c r="I158" s="777"/>
      <c r="J158" s="777"/>
      <c r="K158" s="778"/>
      <c r="L158" s="777"/>
      <c r="M158" s="777"/>
      <c r="N158" s="777"/>
      <c r="O158" s="777"/>
      <c r="P158" s="777"/>
      <c r="Q158" s="777"/>
      <c r="R158" s="777"/>
      <c r="S158" s="777"/>
      <c r="T158" s="777"/>
      <c r="U158" s="777"/>
      <c r="V158" s="777"/>
      <c r="W158" s="777"/>
      <c r="X158" s="777"/>
      <c r="Y158" s="365"/>
      <c r="Z158" s="366"/>
    </row>
    <row r="159" spans="1:26" x14ac:dyDescent="0.2">
      <c r="A159" s="786" t="s">
        <v>1018</v>
      </c>
      <c r="B159" s="786" t="s">
        <v>1289</v>
      </c>
      <c r="C159" s="787" t="s">
        <v>1019</v>
      </c>
      <c r="D159" s="782">
        <v>200</v>
      </c>
      <c r="E159" s="791">
        <v>0</v>
      </c>
      <c r="F159" s="783">
        <v>200</v>
      </c>
      <c r="G159" s="756">
        <f t="shared" ref="G159:G164" si="44">F159*1/12</f>
        <v>16.666666666666668</v>
      </c>
      <c r="H159" s="788">
        <v>0</v>
      </c>
      <c r="I159" s="758">
        <f t="shared" si="33"/>
        <v>33.333333333333336</v>
      </c>
      <c r="J159" s="788">
        <v>0</v>
      </c>
      <c r="K159" s="760">
        <f t="shared" si="41"/>
        <v>50</v>
      </c>
      <c r="L159" s="788">
        <v>0</v>
      </c>
      <c r="M159" s="788"/>
      <c r="N159" s="788"/>
      <c r="O159" s="788"/>
      <c r="P159" s="788"/>
      <c r="Q159" s="788"/>
      <c r="R159" s="788"/>
      <c r="S159" s="788"/>
      <c r="T159" s="788"/>
      <c r="U159" s="788"/>
      <c r="V159" s="788"/>
      <c r="W159" s="788"/>
      <c r="X159" s="788"/>
    </row>
    <row r="160" spans="1:26" x14ac:dyDescent="0.2">
      <c r="A160" s="786" t="s">
        <v>1020</v>
      </c>
      <c r="B160" s="786" t="s">
        <v>1289</v>
      </c>
      <c r="C160" s="787" t="s">
        <v>1021</v>
      </c>
      <c r="D160" s="782">
        <v>1500</v>
      </c>
      <c r="E160" s="791">
        <v>0</v>
      </c>
      <c r="F160" s="783">
        <v>1500</v>
      </c>
      <c r="G160" s="756">
        <f t="shared" si="44"/>
        <v>125</v>
      </c>
      <c r="H160" s="788">
        <v>0</v>
      </c>
      <c r="I160" s="758">
        <f t="shared" si="33"/>
        <v>250</v>
      </c>
      <c r="J160" s="788">
        <v>0</v>
      </c>
      <c r="K160" s="760">
        <f t="shared" si="41"/>
        <v>375</v>
      </c>
      <c r="L160" s="788">
        <v>0</v>
      </c>
      <c r="M160" s="788"/>
      <c r="N160" s="788"/>
      <c r="O160" s="788"/>
      <c r="P160" s="788"/>
      <c r="Q160" s="788"/>
      <c r="R160" s="788"/>
      <c r="S160" s="788"/>
      <c r="T160" s="788"/>
      <c r="U160" s="788"/>
      <c r="V160" s="788"/>
      <c r="W160" s="788"/>
      <c r="X160" s="788"/>
    </row>
    <row r="161" spans="1:26" x14ac:dyDescent="0.2">
      <c r="A161" s="786" t="s">
        <v>1022</v>
      </c>
      <c r="B161" s="786" t="s">
        <v>1289</v>
      </c>
      <c r="C161" s="787" t="s">
        <v>1023</v>
      </c>
      <c r="D161" s="782">
        <v>2500</v>
      </c>
      <c r="E161" s="791">
        <v>0</v>
      </c>
      <c r="F161" s="783">
        <v>2500</v>
      </c>
      <c r="G161" s="756">
        <f t="shared" si="44"/>
        <v>208.33333333333334</v>
      </c>
      <c r="H161" s="788">
        <v>0</v>
      </c>
      <c r="I161" s="758">
        <f t="shared" si="33"/>
        <v>416.66666666666669</v>
      </c>
      <c r="J161" s="788">
        <v>0</v>
      </c>
      <c r="K161" s="760">
        <f t="shared" si="41"/>
        <v>625</v>
      </c>
      <c r="L161" s="788">
        <v>0</v>
      </c>
      <c r="M161" s="788"/>
      <c r="N161" s="788"/>
      <c r="O161" s="788"/>
      <c r="P161" s="788"/>
      <c r="Q161" s="788"/>
      <c r="R161" s="788"/>
      <c r="S161" s="788"/>
      <c r="T161" s="788"/>
      <c r="U161" s="788"/>
      <c r="V161" s="788"/>
      <c r="W161" s="788"/>
      <c r="X161" s="788"/>
    </row>
    <row r="162" spans="1:26" x14ac:dyDescent="0.2">
      <c r="A162" s="786" t="s">
        <v>1024</v>
      </c>
      <c r="B162" s="786" t="s">
        <v>1289</v>
      </c>
      <c r="C162" s="787" t="s">
        <v>1025</v>
      </c>
      <c r="D162" s="782">
        <v>2500</v>
      </c>
      <c r="E162" s="791">
        <v>0</v>
      </c>
      <c r="F162" s="783">
        <v>2500</v>
      </c>
      <c r="G162" s="756">
        <f t="shared" si="44"/>
        <v>208.33333333333334</v>
      </c>
      <c r="H162" s="788">
        <v>0</v>
      </c>
      <c r="I162" s="758">
        <f t="shared" si="33"/>
        <v>416.66666666666669</v>
      </c>
      <c r="J162" s="788">
        <v>0</v>
      </c>
      <c r="K162" s="760">
        <f t="shared" si="41"/>
        <v>625</v>
      </c>
      <c r="L162" s="788">
        <v>0</v>
      </c>
      <c r="M162" s="788"/>
      <c r="N162" s="788"/>
      <c r="O162" s="788"/>
      <c r="P162" s="788"/>
      <c r="Q162" s="788"/>
      <c r="R162" s="788"/>
      <c r="S162" s="788"/>
      <c r="T162" s="788"/>
      <c r="U162" s="788"/>
      <c r="V162" s="788"/>
      <c r="W162" s="788"/>
      <c r="X162" s="788"/>
    </row>
    <row r="163" spans="1:26" x14ac:dyDescent="0.2">
      <c r="A163" s="786" t="s">
        <v>1026</v>
      </c>
      <c r="B163" s="786" t="s">
        <v>1289</v>
      </c>
      <c r="C163" s="787" t="s">
        <v>1027</v>
      </c>
      <c r="D163" s="782">
        <v>10000</v>
      </c>
      <c r="E163" s="791">
        <v>0</v>
      </c>
      <c r="F163" s="783">
        <v>10000</v>
      </c>
      <c r="G163" s="756">
        <f t="shared" si="44"/>
        <v>833.33333333333337</v>
      </c>
      <c r="H163" s="788">
        <v>0</v>
      </c>
      <c r="I163" s="758">
        <f t="shared" si="33"/>
        <v>1666.6666666666667</v>
      </c>
      <c r="J163" s="788">
        <v>0</v>
      </c>
      <c r="K163" s="760">
        <f t="shared" si="41"/>
        <v>2500</v>
      </c>
      <c r="L163" s="788">
        <v>0</v>
      </c>
      <c r="M163" s="788"/>
      <c r="N163" s="788"/>
      <c r="O163" s="788"/>
      <c r="P163" s="788"/>
      <c r="Q163" s="788"/>
      <c r="R163" s="788"/>
      <c r="S163" s="788"/>
      <c r="T163" s="788"/>
      <c r="U163" s="788"/>
      <c r="V163" s="788"/>
      <c r="W163" s="788"/>
      <c r="X163" s="788"/>
    </row>
    <row r="164" spans="1:26" x14ac:dyDescent="0.2">
      <c r="A164" s="786" t="s">
        <v>1028</v>
      </c>
      <c r="B164" s="786" t="s">
        <v>1289</v>
      </c>
      <c r="C164" s="787" t="s">
        <v>1029</v>
      </c>
      <c r="D164" s="782">
        <v>4000</v>
      </c>
      <c r="E164" s="791">
        <v>0</v>
      </c>
      <c r="F164" s="783">
        <v>4000</v>
      </c>
      <c r="G164" s="756">
        <f t="shared" si="44"/>
        <v>333.33333333333331</v>
      </c>
      <c r="H164" s="788">
        <v>0</v>
      </c>
      <c r="I164" s="758">
        <f t="shared" si="33"/>
        <v>666.66666666666663</v>
      </c>
      <c r="J164" s="788">
        <v>0</v>
      </c>
      <c r="K164" s="760">
        <f t="shared" si="41"/>
        <v>1000</v>
      </c>
      <c r="L164" s="788">
        <v>0</v>
      </c>
      <c r="M164" s="788"/>
      <c r="N164" s="788"/>
      <c r="O164" s="788"/>
      <c r="P164" s="788"/>
      <c r="Q164" s="788"/>
      <c r="R164" s="788"/>
      <c r="S164" s="788"/>
      <c r="T164" s="788"/>
      <c r="U164" s="788"/>
      <c r="V164" s="788"/>
      <c r="W164" s="788"/>
      <c r="X164" s="788"/>
    </row>
    <row r="165" spans="1:26" s="367" customFormat="1" x14ac:dyDescent="0.2">
      <c r="A165" s="801" t="s">
        <v>1030</v>
      </c>
      <c r="B165" s="801" t="s">
        <v>1030</v>
      </c>
      <c r="C165" s="802" t="s">
        <v>653</v>
      </c>
      <c r="D165" s="774">
        <v>1000</v>
      </c>
      <c r="E165" s="789">
        <v>61</v>
      </c>
      <c r="F165" s="776">
        <v>1000</v>
      </c>
      <c r="G165" s="803">
        <f>F165*1/12</f>
        <v>83.333333333333329</v>
      </c>
      <c r="H165" s="790">
        <v>90</v>
      </c>
      <c r="I165" s="777">
        <f t="shared" si="33"/>
        <v>166.66666666666666</v>
      </c>
      <c r="J165" s="790">
        <v>90</v>
      </c>
      <c r="K165" s="778"/>
      <c r="L165" s="790">
        <v>90</v>
      </c>
      <c r="M165" s="790"/>
      <c r="N165" s="790"/>
      <c r="O165" s="790"/>
      <c r="P165" s="790"/>
      <c r="Q165" s="790"/>
      <c r="R165" s="790"/>
      <c r="S165" s="790"/>
      <c r="T165" s="790"/>
      <c r="U165" s="790"/>
      <c r="V165" s="790"/>
      <c r="W165" s="790"/>
      <c r="X165" s="790"/>
      <c r="Y165" s="365"/>
      <c r="Z165" s="366"/>
    </row>
    <row r="166" spans="1:26" x14ac:dyDescent="0.2">
      <c r="A166" s="804" t="s">
        <v>1014</v>
      </c>
      <c r="B166" s="805" t="s">
        <v>306</v>
      </c>
      <c r="C166" s="806" t="s">
        <v>1031</v>
      </c>
      <c r="D166" s="782">
        <v>0</v>
      </c>
      <c r="E166" s="791">
        <v>0</v>
      </c>
      <c r="F166" s="783">
        <v>0</v>
      </c>
      <c r="G166" s="756">
        <f>F166*1/12</f>
        <v>0</v>
      </c>
      <c r="H166" s="788">
        <v>0</v>
      </c>
      <c r="I166" s="758">
        <f t="shared" si="33"/>
        <v>0</v>
      </c>
      <c r="J166" s="788">
        <v>0</v>
      </c>
      <c r="K166" s="760">
        <f t="shared" si="41"/>
        <v>0</v>
      </c>
      <c r="L166" s="788">
        <v>0</v>
      </c>
      <c r="M166" s="788"/>
      <c r="N166" s="788"/>
      <c r="O166" s="788"/>
      <c r="P166" s="788"/>
      <c r="Q166" s="788"/>
      <c r="R166" s="788"/>
      <c r="S166" s="788"/>
      <c r="T166" s="788"/>
      <c r="U166" s="788"/>
      <c r="V166" s="788"/>
      <c r="W166" s="788"/>
      <c r="X166" s="788"/>
    </row>
    <row r="167" spans="1:26" s="480" customFormat="1" x14ac:dyDescent="0.2">
      <c r="A167" s="801" t="s">
        <v>1032</v>
      </c>
      <c r="B167" s="801" t="s">
        <v>1032</v>
      </c>
      <c r="C167" s="802" t="s">
        <v>1033</v>
      </c>
      <c r="D167" s="774">
        <v>500</v>
      </c>
      <c r="E167" s="775">
        <v>0</v>
      </c>
      <c r="F167" s="776">
        <v>500</v>
      </c>
      <c r="G167" s="803">
        <f>F167*1/12</f>
        <v>41.666666666666664</v>
      </c>
      <c r="H167" s="779">
        <v>0</v>
      </c>
      <c r="I167" s="777">
        <f t="shared" si="33"/>
        <v>83.333333333333329</v>
      </c>
      <c r="J167" s="779">
        <v>0</v>
      </c>
      <c r="K167" s="778"/>
      <c r="L167" s="779">
        <v>0</v>
      </c>
      <c r="M167" s="779"/>
      <c r="N167" s="779"/>
      <c r="O167" s="779"/>
      <c r="P167" s="779"/>
      <c r="Q167" s="779"/>
      <c r="R167" s="779"/>
      <c r="S167" s="779"/>
      <c r="T167" s="779"/>
      <c r="U167" s="779"/>
      <c r="V167" s="779"/>
      <c r="W167" s="779"/>
      <c r="X167" s="779"/>
      <c r="Y167" s="479"/>
      <c r="Z167" s="366"/>
    </row>
    <row r="168" spans="1:26" s="367" customFormat="1" x14ac:dyDescent="0.2">
      <c r="A168" s="772" t="s">
        <v>1034</v>
      </c>
      <c r="B168" s="772"/>
      <c r="C168" s="773" t="s">
        <v>1035</v>
      </c>
      <c r="D168" s="774"/>
      <c r="E168" s="792"/>
      <c r="F168" s="776"/>
      <c r="G168" s="776"/>
      <c r="H168" s="777"/>
      <c r="I168" s="790"/>
      <c r="J168" s="777"/>
      <c r="K168" s="778"/>
      <c r="L168" s="777"/>
      <c r="M168" s="777"/>
      <c r="N168" s="777"/>
      <c r="O168" s="777"/>
      <c r="P168" s="777"/>
      <c r="Q168" s="777"/>
      <c r="R168" s="777"/>
      <c r="S168" s="777"/>
      <c r="T168" s="777"/>
      <c r="U168" s="777"/>
      <c r="V168" s="777"/>
      <c r="W168" s="777"/>
      <c r="X168" s="777"/>
      <c r="Y168" s="365"/>
      <c r="Z168" s="366"/>
    </row>
    <row r="169" spans="1:26" x14ac:dyDescent="0.2">
      <c r="A169" s="786" t="s">
        <v>318</v>
      </c>
      <c r="B169" s="786" t="s">
        <v>318</v>
      </c>
      <c r="C169" s="787" t="s">
        <v>1036</v>
      </c>
      <c r="D169" s="782">
        <v>500</v>
      </c>
      <c r="E169" s="791">
        <v>0</v>
      </c>
      <c r="F169" s="783">
        <v>500</v>
      </c>
      <c r="G169" s="756">
        <f t="shared" ref="G169:G176" si="45">F169*1/12</f>
        <v>41.666666666666664</v>
      </c>
      <c r="H169" s="788">
        <v>0</v>
      </c>
      <c r="I169" s="758">
        <f t="shared" si="33"/>
        <v>83.333333333333329</v>
      </c>
      <c r="J169" s="788">
        <v>0</v>
      </c>
      <c r="K169" s="760">
        <f t="shared" si="41"/>
        <v>125</v>
      </c>
      <c r="L169" s="788">
        <v>0</v>
      </c>
      <c r="M169" s="788"/>
      <c r="N169" s="788"/>
      <c r="O169" s="788"/>
      <c r="P169" s="788"/>
      <c r="Q169" s="788"/>
      <c r="R169" s="788"/>
      <c r="S169" s="788"/>
      <c r="T169" s="788"/>
      <c r="U169" s="788"/>
      <c r="V169" s="788"/>
      <c r="W169" s="788"/>
      <c r="X169" s="788"/>
    </row>
    <row r="170" spans="1:26" x14ac:dyDescent="0.2">
      <c r="A170" s="786" t="s">
        <v>1037</v>
      </c>
      <c r="B170" s="786" t="s">
        <v>1037</v>
      </c>
      <c r="C170" s="787" t="s">
        <v>1038</v>
      </c>
      <c r="D170" s="782">
        <v>4000</v>
      </c>
      <c r="E170" s="791">
        <v>0</v>
      </c>
      <c r="F170" s="783">
        <v>4000</v>
      </c>
      <c r="G170" s="756">
        <f t="shared" si="45"/>
        <v>333.33333333333331</v>
      </c>
      <c r="H170" s="788">
        <v>0</v>
      </c>
      <c r="I170" s="758">
        <f t="shared" si="33"/>
        <v>666.66666666666663</v>
      </c>
      <c r="J170" s="788">
        <v>0</v>
      </c>
      <c r="K170" s="760">
        <f t="shared" si="41"/>
        <v>1000</v>
      </c>
      <c r="L170" s="788">
        <v>0</v>
      </c>
      <c r="M170" s="788"/>
      <c r="N170" s="788"/>
      <c r="O170" s="788"/>
      <c r="P170" s="788"/>
      <c r="Q170" s="788"/>
      <c r="R170" s="788"/>
      <c r="S170" s="788"/>
      <c r="T170" s="788"/>
      <c r="U170" s="788"/>
      <c r="V170" s="788"/>
      <c r="W170" s="788"/>
      <c r="X170" s="788"/>
    </row>
    <row r="171" spans="1:26" x14ac:dyDescent="0.2">
      <c r="A171" s="786" t="s">
        <v>1039</v>
      </c>
      <c r="B171" s="786" t="s">
        <v>1039</v>
      </c>
      <c r="C171" s="806" t="s">
        <v>1040</v>
      </c>
      <c r="D171" s="782">
        <v>4000</v>
      </c>
      <c r="E171" s="764">
        <v>330</v>
      </c>
      <c r="F171" s="783">
        <v>4000</v>
      </c>
      <c r="G171" s="756">
        <f t="shared" si="45"/>
        <v>333.33333333333331</v>
      </c>
      <c r="H171" s="788">
        <v>0</v>
      </c>
      <c r="I171" s="758">
        <f t="shared" si="33"/>
        <v>666.66666666666663</v>
      </c>
      <c r="J171" s="788">
        <v>0</v>
      </c>
      <c r="K171" s="760">
        <f t="shared" si="41"/>
        <v>1000</v>
      </c>
      <c r="L171" s="788">
        <v>0</v>
      </c>
      <c r="M171" s="788"/>
      <c r="N171" s="788"/>
      <c r="O171" s="788"/>
      <c r="P171" s="788"/>
      <c r="Q171" s="788"/>
      <c r="R171" s="788"/>
      <c r="S171" s="788"/>
      <c r="T171" s="788"/>
      <c r="U171" s="788"/>
      <c r="V171" s="759"/>
      <c r="W171" s="759"/>
      <c r="X171" s="794"/>
    </row>
    <row r="172" spans="1:26" x14ac:dyDescent="0.2">
      <c r="A172" s="786" t="s">
        <v>1041</v>
      </c>
      <c r="B172" s="786" t="s">
        <v>1041</v>
      </c>
      <c r="C172" s="787" t="s">
        <v>1042</v>
      </c>
      <c r="D172" s="782">
        <v>1000</v>
      </c>
      <c r="E172" s="791">
        <v>0</v>
      </c>
      <c r="F172" s="783">
        <v>1000</v>
      </c>
      <c r="G172" s="756">
        <f t="shared" si="45"/>
        <v>83.333333333333329</v>
      </c>
      <c r="H172" s="788">
        <v>0</v>
      </c>
      <c r="I172" s="758">
        <f t="shared" si="33"/>
        <v>166.66666666666666</v>
      </c>
      <c r="J172" s="788">
        <v>0</v>
      </c>
      <c r="K172" s="760">
        <f t="shared" si="41"/>
        <v>250</v>
      </c>
      <c r="L172" s="788">
        <v>0</v>
      </c>
      <c r="M172" s="788"/>
      <c r="N172" s="788"/>
      <c r="O172" s="788"/>
      <c r="P172" s="788"/>
      <c r="Q172" s="788"/>
      <c r="R172" s="788"/>
      <c r="S172" s="788"/>
      <c r="T172" s="788"/>
      <c r="U172" s="788"/>
      <c r="V172" s="788"/>
      <c r="W172" s="788"/>
      <c r="X172" s="788"/>
    </row>
    <row r="173" spans="1:26" x14ac:dyDescent="0.2">
      <c r="A173" s="786" t="s">
        <v>1043</v>
      </c>
      <c r="B173" s="786" t="s">
        <v>1037</v>
      </c>
      <c r="C173" s="787" t="s">
        <v>1044</v>
      </c>
      <c r="D173" s="782">
        <v>6000</v>
      </c>
      <c r="E173" s="791">
        <v>0</v>
      </c>
      <c r="F173" s="783">
        <v>6000</v>
      </c>
      <c r="G173" s="756">
        <f t="shared" si="45"/>
        <v>500</v>
      </c>
      <c r="H173" s="788">
        <v>0</v>
      </c>
      <c r="I173" s="758">
        <f t="shared" si="33"/>
        <v>1000</v>
      </c>
      <c r="J173" s="788">
        <v>0</v>
      </c>
      <c r="K173" s="760">
        <f t="shared" si="41"/>
        <v>1500</v>
      </c>
      <c r="L173" s="788">
        <v>0</v>
      </c>
      <c r="M173" s="788"/>
      <c r="N173" s="788"/>
      <c r="O173" s="788"/>
      <c r="P173" s="788"/>
      <c r="Q173" s="788"/>
      <c r="R173" s="788"/>
      <c r="S173" s="788"/>
      <c r="T173" s="788"/>
      <c r="U173" s="788"/>
      <c r="V173" s="788"/>
      <c r="W173" s="788"/>
      <c r="X173" s="788"/>
    </row>
    <row r="174" spans="1:26" x14ac:dyDescent="0.2">
      <c r="A174" s="786" t="s">
        <v>1045</v>
      </c>
      <c r="B174" s="786" t="s">
        <v>1041</v>
      </c>
      <c r="C174" s="806" t="s">
        <v>1046</v>
      </c>
      <c r="D174" s="782">
        <v>7000</v>
      </c>
      <c r="E174" s="764">
        <v>0</v>
      </c>
      <c r="F174" s="783">
        <v>7000</v>
      </c>
      <c r="G174" s="756">
        <f t="shared" si="45"/>
        <v>583.33333333333337</v>
      </c>
      <c r="H174" s="788">
        <v>0</v>
      </c>
      <c r="I174" s="758">
        <f t="shared" si="33"/>
        <v>1166.6666666666667</v>
      </c>
      <c r="J174" s="788">
        <v>0</v>
      </c>
      <c r="K174" s="760">
        <f t="shared" si="41"/>
        <v>1750</v>
      </c>
      <c r="L174" s="788">
        <v>0</v>
      </c>
      <c r="M174" s="788"/>
      <c r="N174" s="788"/>
      <c r="O174" s="788"/>
      <c r="P174" s="788"/>
      <c r="Q174" s="788"/>
      <c r="R174" s="759"/>
      <c r="S174" s="759"/>
      <c r="T174" s="759"/>
      <c r="U174" s="759"/>
      <c r="V174" s="759"/>
      <c r="W174" s="759"/>
      <c r="X174" s="794"/>
    </row>
    <row r="175" spans="1:26" x14ac:dyDescent="0.2">
      <c r="A175" s="786" t="s">
        <v>1047</v>
      </c>
      <c r="B175" s="786" t="s">
        <v>1041</v>
      </c>
      <c r="C175" s="787" t="s">
        <v>1048</v>
      </c>
      <c r="D175" s="782">
        <v>1500</v>
      </c>
      <c r="E175" s="791">
        <v>187.73</v>
      </c>
      <c r="F175" s="783">
        <v>1500</v>
      </c>
      <c r="G175" s="756">
        <f t="shared" si="45"/>
        <v>125</v>
      </c>
      <c r="H175" s="788">
        <v>0</v>
      </c>
      <c r="I175" s="758">
        <f t="shared" si="33"/>
        <v>250</v>
      </c>
      <c r="J175" s="788">
        <v>0</v>
      </c>
      <c r="K175" s="760">
        <f t="shared" si="41"/>
        <v>375</v>
      </c>
      <c r="L175" s="788">
        <v>166.48</v>
      </c>
      <c r="M175" s="788"/>
      <c r="N175" s="788"/>
      <c r="O175" s="788"/>
      <c r="P175" s="788"/>
      <c r="Q175" s="788"/>
      <c r="R175" s="788"/>
      <c r="S175" s="788"/>
      <c r="T175" s="788"/>
      <c r="U175" s="788"/>
      <c r="V175" s="788"/>
      <c r="W175" s="788"/>
      <c r="X175" s="788"/>
    </row>
    <row r="176" spans="1:26" x14ac:dyDescent="0.2">
      <c r="A176" s="786" t="s">
        <v>1049</v>
      </c>
      <c r="B176" s="786" t="s">
        <v>896</v>
      </c>
      <c r="C176" s="787" t="s">
        <v>1050</v>
      </c>
      <c r="D176" s="782">
        <v>500</v>
      </c>
      <c r="E176" s="791">
        <v>0</v>
      </c>
      <c r="F176" s="783">
        <v>500</v>
      </c>
      <c r="G176" s="756">
        <f t="shared" si="45"/>
        <v>41.666666666666664</v>
      </c>
      <c r="H176" s="788">
        <v>0</v>
      </c>
      <c r="I176" s="758">
        <f t="shared" si="33"/>
        <v>83.333333333333329</v>
      </c>
      <c r="J176" s="788">
        <v>0</v>
      </c>
      <c r="K176" s="760">
        <f t="shared" si="41"/>
        <v>125</v>
      </c>
      <c r="L176" s="788">
        <v>0</v>
      </c>
      <c r="M176" s="788"/>
      <c r="N176" s="788"/>
      <c r="O176" s="788"/>
      <c r="P176" s="788"/>
      <c r="Q176" s="788"/>
      <c r="R176" s="788"/>
      <c r="S176" s="788"/>
      <c r="T176" s="788"/>
      <c r="U176" s="788"/>
      <c r="V176" s="788"/>
      <c r="W176" s="788"/>
      <c r="X176" s="788"/>
    </row>
    <row r="177" spans="1:26" x14ac:dyDescent="0.2">
      <c r="A177" s="772" t="s">
        <v>413</v>
      </c>
      <c r="B177" s="772"/>
      <c r="C177" s="773" t="s">
        <v>1051</v>
      </c>
      <c r="D177" s="774"/>
      <c r="E177" s="789"/>
      <c r="F177" s="776"/>
      <c r="G177" s="776"/>
      <c r="H177" s="790"/>
      <c r="I177" s="790"/>
      <c r="J177" s="790"/>
      <c r="K177" s="778"/>
      <c r="L177" s="790"/>
      <c r="M177" s="790"/>
      <c r="N177" s="790"/>
      <c r="O177" s="790"/>
      <c r="P177" s="790"/>
      <c r="Q177" s="790"/>
      <c r="R177" s="790"/>
      <c r="S177" s="790"/>
      <c r="T177" s="790"/>
      <c r="U177" s="790"/>
      <c r="V177" s="790"/>
      <c r="W177" s="790"/>
      <c r="X177" s="790"/>
    </row>
    <row r="178" spans="1:26" x14ac:dyDescent="0.2">
      <c r="A178" s="786" t="s">
        <v>415</v>
      </c>
      <c r="B178" s="807"/>
      <c r="C178" s="787" t="s">
        <v>1052</v>
      </c>
      <c r="D178" s="782">
        <v>0</v>
      </c>
      <c r="E178" s="808">
        <v>0</v>
      </c>
      <c r="F178" s="783">
        <v>0</v>
      </c>
      <c r="G178" s="756">
        <f>F178*1/12</f>
        <v>0</v>
      </c>
      <c r="H178" s="809">
        <v>0</v>
      </c>
      <c r="I178" s="758">
        <f t="shared" si="33"/>
        <v>0</v>
      </c>
      <c r="J178" s="809">
        <v>0</v>
      </c>
      <c r="K178" s="760">
        <f t="shared" si="41"/>
        <v>0</v>
      </c>
      <c r="L178" s="809">
        <v>0</v>
      </c>
      <c r="M178" s="809"/>
      <c r="N178" s="809"/>
      <c r="O178" s="809"/>
      <c r="P178" s="809"/>
      <c r="Q178" s="809"/>
      <c r="R178" s="809"/>
      <c r="S178" s="809"/>
      <c r="T178" s="809"/>
      <c r="U178" s="809"/>
      <c r="V178" s="809"/>
      <c r="W178" s="809"/>
      <c r="X178" s="809"/>
    </row>
    <row r="179" spans="1:26" x14ac:dyDescent="0.2">
      <c r="A179" s="786" t="s">
        <v>418</v>
      </c>
      <c r="B179" s="807"/>
      <c r="C179" s="787" t="s">
        <v>1053</v>
      </c>
      <c r="D179" s="782">
        <v>0</v>
      </c>
      <c r="E179" s="808">
        <v>0</v>
      </c>
      <c r="F179" s="783">
        <v>0</v>
      </c>
      <c r="G179" s="756">
        <f>F179*1/12</f>
        <v>0</v>
      </c>
      <c r="H179" s="809">
        <v>0</v>
      </c>
      <c r="I179" s="758">
        <f t="shared" si="33"/>
        <v>0</v>
      </c>
      <c r="J179" s="809">
        <v>0</v>
      </c>
      <c r="K179" s="760">
        <f t="shared" si="41"/>
        <v>0</v>
      </c>
      <c r="L179" s="809">
        <v>0</v>
      </c>
      <c r="M179" s="809"/>
      <c r="N179" s="809"/>
      <c r="O179" s="809"/>
      <c r="P179" s="809"/>
      <c r="Q179" s="809"/>
      <c r="R179" s="809"/>
      <c r="S179" s="809"/>
      <c r="T179" s="809"/>
      <c r="U179" s="809"/>
      <c r="V179" s="809"/>
      <c r="W179" s="809"/>
      <c r="X179" s="809"/>
    </row>
    <row r="180" spans="1:26" x14ac:dyDescent="0.2">
      <c r="A180" s="810"/>
      <c r="B180" s="811"/>
      <c r="C180" s="812" t="s">
        <v>1054</v>
      </c>
      <c r="D180" s="813">
        <f t="shared" ref="D180:X180" si="46">SUM(D56:D179)</f>
        <v>533570</v>
      </c>
      <c r="E180" s="814">
        <f t="shared" si="46"/>
        <v>418690.32999999996</v>
      </c>
      <c r="F180" s="815">
        <f t="shared" si="46"/>
        <v>533570</v>
      </c>
      <c r="G180" s="815">
        <f t="shared" si="46"/>
        <v>44464.166666666657</v>
      </c>
      <c r="H180" s="816">
        <f t="shared" si="46"/>
        <v>3443.93</v>
      </c>
      <c r="I180" s="816">
        <f t="shared" si="46"/>
        <v>88928.333333333314</v>
      </c>
      <c r="J180" s="816">
        <f t="shared" si="46"/>
        <v>16156.46</v>
      </c>
      <c r="K180" s="816">
        <f t="shared" si="46"/>
        <v>133017.5</v>
      </c>
      <c r="L180" s="816">
        <f t="shared" si="46"/>
        <v>19675.170000000002</v>
      </c>
      <c r="M180" s="816">
        <f t="shared" si="46"/>
        <v>0</v>
      </c>
      <c r="N180" s="816">
        <f t="shared" si="46"/>
        <v>0</v>
      </c>
      <c r="O180" s="816">
        <f t="shared" si="46"/>
        <v>0</v>
      </c>
      <c r="P180" s="816">
        <f t="shared" si="46"/>
        <v>0</v>
      </c>
      <c r="Q180" s="816">
        <f t="shared" si="46"/>
        <v>0</v>
      </c>
      <c r="R180" s="816">
        <f t="shared" si="46"/>
        <v>0</v>
      </c>
      <c r="S180" s="816">
        <f t="shared" si="46"/>
        <v>0</v>
      </c>
      <c r="T180" s="816">
        <f t="shared" si="46"/>
        <v>0</v>
      </c>
      <c r="U180" s="816">
        <f t="shared" si="46"/>
        <v>0</v>
      </c>
      <c r="V180" s="816">
        <f t="shared" si="46"/>
        <v>0</v>
      </c>
      <c r="W180" s="816">
        <f t="shared" si="46"/>
        <v>0</v>
      </c>
      <c r="X180" s="816">
        <f t="shared" si="46"/>
        <v>0</v>
      </c>
    </row>
    <row r="181" spans="1:26" x14ac:dyDescent="0.2">
      <c r="A181" s="772" t="s">
        <v>1055</v>
      </c>
      <c r="B181" s="772"/>
      <c r="C181" s="773" t="s">
        <v>1056</v>
      </c>
      <c r="D181" s="774"/>
      <c r="E181" s="789"/>
      <c r="F181" s="776"/>
      <c r="G181" s="776"/>
      <c r="H181" s="790"/>
      <c r="I181" s="777"/>
      <c r="J181" s="790"/>
      <c r="K181" s="790"/>
      <c r="L181" s="790"/>
      <c r="M181" s="790"/>
      <c r="N181" s="790"/>
      <c r="O181" s="790"/>
      <c r="P181" s="790"/>
      <c r="Q181" s="790"/>
      <c r="R181" s="790"/>
      <c r="S181" s="790"/>
      <c r="T181" s="790"/>
      <c r="U181" s="790"/>
      <c r="V181" s="790"/>
      <c r="W181" s="790"/>
      <c r="X181" s="790"/>
    </row>
    <row r="182" spans="1:26" x14ac:dyDescent="0.2">
      <c r="A182" s="772" t="s">
        <v>1057</v>
      </c>
      <c r="B182" s="772"/>
      <c r="C182" s="773" t="s">
        <v>1058</v>
      </c>
      <c r="D182" s="774"/>
      <c r="E182" s="789"/>
      <c r="F182" s="776"/>
      <c r="G182" s="776"/>
      <c r="H182" s="790"/>
      <c r="I182" s="777"/>
      <c r="J182" s="790"/>
      <c r="K182" s="790"/>
      <c r="L182" s="790"/>
      <c r="M182" s="790"/>
      <c r="N182" s="790"/>
      <c r="O182" s="790"/>
      <c r="P182" s="790"/>
      <c r="Q182" s="790"/>
      <c r="R182" s="790"/>
      <c r="S182" s="790"/>
      <c r="T182" s="790"/>
      <c r="U182" s="790"/>
      <c r="V182" s="790"/>
      <c r="W182" s="790"/>
      <c r="X182" s="790"/>
    </row>
    <row r="183" spans="1:26" x14ac:dyDescent="0.2">
      <c r="A183" s="786" t="s">
        <v>1059</v>
      </c>
      <c r="B183" s="786" t="s">
        <v>1059</v>
      </c>
      <c r="C183" s="787" t="s">
        <v>1060</v>
      </c>
      <c r="D183" s="782">
        <v>0</v>
      </c>
      <c r="E183" s="791">
        <v>0</v>
      </c>
      <c r="F183" s="783">
        <v>0</v>
      </c>
      <c r="G183" s="756">
        <f t="shared" ref="G183:G190" si="47">F183*1/12</f>
        <v>0</v>
      </c>
      <c r="H183" s="788">
        <v>0</v>
      </c>
      <c r="I183" s="758">
        <f>F183*2/12</f>
        <v>0</v>
      </c>
      <c r="J183" s="788">
        <v>0</v>
      </c>
      <c r="K183" s="758">
        <f>F183*3/12</f>
        <v>0</v>
      </c>
      <c r="L183" s="788">
        <v>0</v>
      </c>
      <c r="M183" s="788"/>
      <c r="N183" s="788"/>
      <c r="O183" s="788"/>
      <c r="P183" s="788"/>
      <c r="Q183" s="788"/>
      <c r="R183" s="788"/>
      <c r="S183" s="788"/>
      <c r="T183" s="788"/>
      <c r="U183" s="788"/>
      <c r="V183" s="788"/>
      <c r="W183" s="788"/>
      <c r="X183" s="788"/>
    </row>
    <row r="184" spans="1:26" x14ac:dyDescent="0.2">
      <c r="A184" s="786" t="s">
        <v>1061</v>
      </c>
      <c r="B184" s="786" t="s">
        <v>1061</v>
      </c>
      <c r="C184" s="787" t="s">
        <v>1062</v>
      </c>
      <c r="D184" s="782">
        <v>0</v>
      </c>
      <c r="E184" s="764">
        <v>0</v>
      </c>
      <c r="F184" s="783">
        <v>0</v>
      </c>
      <c r="G184" s="756">
        <f t="shared" si="47"/>
        <v>0</v>
      </c>
      <c r="H184" s="759">
        <v>0</v>
      </c>
      <c r="I184" s="758">
        <f t="shared" ref="I184:I190" si="48">F184*2/12</f>
        <v>0</v>
      </c>
      <c r="J184" s="759">
        <v>0</v>
      </c>
      <c r="K184" s="758">
        <f t="shared" ref="K184:K190" si="49">F184*3/12</f>
        <v>0</v>
      </c>
      <c r="L184" s="759">
        <v>0</v>
      </c>
      <c r="M184" s="759"/>
      <c r="N184" s="759"/>
      <c r="O184" s="759"/>
      <c r="P184" s="759"/>
      <c r="Q184" s="759"/>
      <c r="R184" s="759"/>
      <c r="S184" s="759"/>
      <c r="T184" s="759"/>
      <c r="U184" s="759"/>
      <c r="V184" s="759"/>
      <c r="W184" s="759"/>
      <c r="X184" s="759"/>
    </row>
    <row r="185" spans="1:26" x14ac:dyDescent="0.2">
      <c r="A185" s="786" t="s">
        <v>483</v>
      </c>
      <c r="B185" s="786" t="s">
        <v>483</v>
      </c>
      <c r="C185" s="787" t="s">
        <v>1063</v>
      </c>
      <c r="D185" s="782">
        <v>200</v>
      </c>
      <c r="E185" s="764">
        <v>150</v>
      </c>
      <c r="F185" s="783">
        <v>200</v>
      </c>
      <c r="G185" s="756">
        <f t="shared" si="47"/>
        <v>16.666666666666668</v>
      </c>
      <c r="H185" s="759">
        <v>0</v>
      </c>
      <c r="I185" s="758">
        <f t="shared" si="48"/>
        <v>33.333333333333336</v>
      </c>
      <c r="J185" s="759">
        <v>0</v>
      </c>
      <c r="K185" s="758">
        <f t="shared" si="49"/>
        <v>50</v>
      </c>
      <c r="L185" s="759">
        <v>0</v>
      </c>
      <c r="M185" s="759"/>
      <c r="N185" s="759"/>
      <c r="O185" s="759"/>
      <c r="P185" s="759"/>
      <c r="Q185" s="759"/>
      <c r="R185" s="759"/>
      <c r="S185" s="759"/>
      <c r="T185" s="759"/>
      <c r="U185" s="759"/>
      <c r="V185" s="759"/>
      <c r="W185" s="759"/>
      <c r="X185" s="759"/>
    </row>
    <row r="186" spans="1:26" x14ac:dyDescent="0.2">
      <c r="A186" s="786" t="s">
        <v>1064</v>
      </c>
      <c r="B186" s="786" t="s">
        <v>1064</v>
      </c>
      <c r="C186" s="787" t="s">
        <v>1065</v>
      </c>
      <c r="D186" s="782">
        <v>0</v>
      </c>
      <c r="E186" s="764">
        <v>0</v>
      </c>
      <c r="F186" s="783">
        <v>0</v>
      </c>
      <c r="G186" s="756">
        <f t="shared" si="47"/>
        <v>0</v>
      </c>
      <c r="H186" s="759">
        <v>0</v>
      </c>
      <c r="I186" s="758">
        <f t="shared" si="48"/>
        <v>0</v>
      </c>
      <c r="J186" s="759">
        <v>0</v>
      </c>
      <c r="K186" s="758">
        <f t="shared" si="49"/>
        <v>0</v>
      </c>
      <c r="L186" s="759">
        <v>0</v>
      </c>
      <c r="M186" s="759"/>
      <c r="N186" s="759"/>
      <c r="O186" s="759"/>
      <c r="P186" s="759"/>
      <c r="Q186" s="759"/>
      <c r="R186" s="759"/>
      <c r="S186" s="759"/>
      <c r="T186" s="759"/>
      <c r="U186" s="759"/>
      <c r="V186" s="759"/>
      <c r="W186" s="759"/>
      <c r="X186" s="759"/>
    </row>
    <row r="187" spans="1:26" x14ac:dyDescent="0.2">
      <c r="A187" s="786" t="s">
        <v>1066</v>
      </c>
      <c r="B187" s="786" t="s">
        <v>1064</v>
      </c>
      <c r="C187" s="787" t="s">
        <v>1067</v>
      </c>
      <c r="D187" s="782">
        <v>0</v>
      </c>
      <c r="E187" s="764">
        <v>0</v>
      </c>
      <c r="F187" s="783">
        <v>0</v>
      </c>
      <c r="G187" s="756">
        <f t="shared" si="47"/>
        <v>0</v>
      </c>
      <c r="H187" s="759">
        <v>0</v>
      </c>
      <c r="I187" s="758">
        <f t="shared" si="48"/>
        <v>0</v>
      </c>
      <c r="J187" s="759">
        <v>0</v>
      </c>
      <c r="K187" s="758">
        <f t="shared" si="49"/>
        <v>0</v>
      </c>
      <c r="L187" s="759">
        <v>0</v>
      </c>
      <c r="M187" s="759"/>
      <c r="N187" s="759"/>
      <c r="O187" s="759"/>
      <c r="P187" s="759"/>
      <c r="Q187" s="759"/>
      <c r="R187" s="759"/>
      <c r="S187" s="759"/>
      <c r="T187" s="759"/>
      <c r="U187" s="759"/>
      <c r="V187" s="759"/>
      <c r="W187" s="759"/>
      <c r="X187" s="759"/>
    </row>
    <row r="188" spans="1:26" x14ac:dyDescent="0.2">
      <c r="A188" s="786" t="s">
        <v>486</v>
      </c>
      <c r="B188" s="786" t="s">
        <v>483</v>
      </c>
      <c r="C188" s="787" t="s">
        <v>1068</v>
      </c>
      <c r="D188" s="782">
        <v>200</v>
      </c>
      <c r="E188" s="764">
        <v>0</v>
      </c>
      <c r="F188" s="783">
        <v>200</v>
      </c>
      <c r="G188" s="756">
        <f t="shared" si="47"/>
        <v>16.666666666666668</v>
      </c>
      <c r="H188" s="759">
        <v>0</v>
      </c>
      <c r="I188" s="758">
        <f t="shared" si="48"/>
        <v>33.333333333333336</v>
      </c>
      <c r="J188" s="759">
        <v>0</v>
      </c>
      <c r="K188" s="758">
        <f t="shared" si="49"/>
        <v>50</v>
      </c>
      <c r="L188" s="759">
        <v>0</v>
      </c>
      <c r="M188" s="759"/>
      <c r="N188" s="759"/>
      <c r="O188" s="759"/>
      <c r="P188" s="759"/>
      <c r="Q188" s="759"/>
      <c r="R188" s="759"/>
      <c r="S188" s="759"/>
      <c r="T188" s="759"/>
      <c r="U188" s="759"/>
      <c r="V188" s="759"/>
      <c r="W188" s="759"/>
      <c r="X188" s="759"/>
    </row>
    <row r="189" spans="1:26" x14ac:dyDescent="0.2">
      <c r="A189" s="786" t="s">
        <v>493</v>
      </c>
      <c r="B189" s="786" t="s">
        <v>1064</v>
      </c>
      <c r="C189" s="787" t="s">
        <v>1069</v>
      </c>
      <c r="D189" s="782">
        <v>3264.02</v>
      </c>
      <c r="E189" s="764">
        <v>3264.02</v>
      </c>
      <c r="F189" s="783">
        <v>3264.02</v>
      </c>
      <c r="G189" s="756">
        <f t="shared" si="47"/>
        <v>272.00166666666667</v>
      </c>
      <c r="H189" s="759">
        <v>0</v>
      </c>
      <c r="I189" s="758">
        <f t="shared" si="48"/>
        <v>544.00333333333333</v>
      </c>
      <c r="J189" s="759">
        <v>0</v>
      </c>
      <c r="K189" s="758">
        <f t="shared" si="49"/>
        <v>816.005</v>
      </c>
      <c r="L189" s="759">
        <v>0</v>
      </c>
      <c r="M189" s="759"/>
      <c r="N189" s="759"/>
      <c r="O189" s="759"/>
      <c r="P189" s="759"/>
      <c r="Q189" s="759"/>
      <c r="R189" s="759"/>
      <c r="S189" s="759"/>
      <c r="T189" s="759"/>
      <c r="U189" s="759"/>
      <c r="V189" s="759"/>
      <c r="W189" s="759"/>
      <c r="X189" s="759"/>
    </row>
    <row r="190" spans="1:26" x14ac:dyDescent="0.2">
      <c r="A190" s="786" t="s">
        <v>496</v>
      </c>
      <c r="B190" s="786" t="s">
        <v>1064</v>
      </c>
      <c r="C190" s="787" t="s">
        <v>1070</v>
      </c>
      <c r="D190" s="782">
        <v>25</v>
      </c>
      <c r="E190" s="764">
        <v>25</v>
      </c>
      <c r="F190" s="783">
        <v>25</v>
      </c>
      <c r="G190" s="756">
        <f t="shared" si="47"/>
        <v>2.0833333333333335</v>
      </c>
      <c r="H190" s="759">
        <v>0</v>
      </c>
      <c r="I190" s="758">
        <f t="shared" si="48"/>
        <v>4.166666666666667</v>
      </c>
      <c r="J190" s="759">
        <v>0</v>
      </c>
      <c r="K190" s="758">
        <f t="shared" si="49"/>
        <v>6.25</v>
      </c>
      <c r="L190" s="759">
        <v>25</v>
      </c>
      <c r="M190" s="759"/>
      <c r="N190" s="759"/>
      <c r="O190" s="759"/>
      <c r="P190" s="759"/>
      <c r="Q190" s="759"/>
      <c r="R190" s="759"/>
      <c r="S190" s="759"/>
      <c r="T190" s="759"/>
      <c r="U190" s="759"/>
      <c r="V190" s="759"/>
      <c r="W190" s="759"/>
      <c r="X190" s="759"/>
    </row>
    <row r="191" spans="1:26" s="367" customFormat="1" x14ac:dyDescent="0.2">
      <c r="A191" s="772" t="s">
        <v>1071</v>
      </c>
      <c r="B191" s="772"/>
      <c r="C191" s="773" t="s">
        <v>1072</v>
      </c>
      <c r="D191" s="774"/>
      <c r="E191" s="792"/>
      <c r="F191" s="776"/>
      <c r="G191" s="776"/>
      <c r="H191" s="777"/>
      <c r="I191" s="777"/>
      <c r="J191" s="777"/>
      <c r="K191" s="777"/>
      <c r="L191" s="777"/>
      <c r="M191" s="777"/>
      <c r="N191" s="777"/>
      <c r="O191" s="777"/>
      <c r="P191" s="777"/>
      <c r="Q191" s="777"/>
      <c r="R191" s="777"/>
      <c r="S191" s="777"/>
      <c r="T191" s="790"/>
      <c r="U191" s="790"/>
      <c r="V191" s="790"/>
      <c r="W191" s="777"/>
      <c r="X191" s="777"/>
      <c r="Y191" s="365"/>
      <c r="Z191" s="366"/>
    </row>
    <row r="192" spans="1:26" x14ac:dyDescent="0.2">
      <c r="A192" s="786" t="s">
        <v>150</v>
      </c>
      <c r="B192" s="786" t="s">
        <v>150</v>
      </c>
      <c r="C192" s="787" t="s">
        <v>1073</v>
      </c>
      <c r="D192" s="782">
        <v>1500</v>
      </c>
      <c r="E192" s="764">
        <v>795</v>
      </c>
      <c r="F192" s="783">
        <v>1500</v>
      </c>
      <c r="G192" s="756">
        <f t="shared" ref="G192:G197" si="50">F192*1/12</f>
        <v>125</v>
      </c>
      <c r="H192" s="788">
        <v>0</v>
      </c>
      <c r="I192" s="758">
        <f>F192*2/12</f>
        <v>250</v>
      </c>
      <c r="J192" s="788">
        <v>270</v>
      </c>
      <c r="K192" s="758">
        <f>F192*3/12</f>
        <v>375</v>
      </c>
      <c r="L192" s="788">
        <v>270</v>
      </c>
      <c r="M192" s="788"/>
      <c r="N192" s="788"/>
      <c r="O192" s="788"/>
      <c r="P192" s="788"/>
      <c r="Q192" s="788"/>
      <c r="R192" s="759"/>
      <c r="S192" s="759"/>
      <c r="T192" s="759"/>
      <c r="U192" s="759"/>
      <c r="V192" s="759"/>
      <c r="W192" s="759"/>
      <c r="X192" s="759"/>
    </row>
    <row r="193" spans="1:26" x14ac:dyDescent="0.2">
      <c r="A193" s="786" t="s">
        <v>255</v>
      </c>
      <c r="B193" s="786" t="s">
        <v>255</v>
      </c>
      <c r="C193" s="787" t="s">
        <v>1074</v>
      </c>
      <c r="D193" s="782">
        <v>2500</v>
      </c>
      <c r="E193" s="764">
        <v>1611.86</v>
      </c>
      <c r="F193" s="783">
        <v>2500</v>
      </c>
      <c r="G193" s="756">
        <f t="shared" si="50"/>
        <v>208.33333333333334</v>
      </c>
      <c r="H193" s="788">
        <v>0</v>
      </c>
      <c r="I193" s="758">
        <f t="shared" ref="I193:I253" si="51">F193*2/12</f>
        <v>416.66666666666669</v>
      </c>
      <c r="J193" s="759">
        <v>512.35</v>
      </c>
      <c r="K193" s="758">
        <f t="shared" ref="K193:K252" si="52">F193*3/12</f>
        <v>625</v>
      </c>
      <c r="L193" s="759">
        <v>512.35</v>
      </c>
      <c r="M193" s="759"/>
      <c r="N193" s="759"/>
      <c r="O193" s="759"/>
      <c r="P193" s="759"/>
      <c r="Q193" s="759"/>
      <c r="R193" s="759"/>
      <c r="S193" s="759"/>
      <c r="T193" s="759"/>
      <c r="U193" s="759"/>
      <c r="V193" s="759"/>
      <c r="W193" s="759"/>
      <c r="X193" s="759"/>
    </row>
    <row r="194" spans="1:26" x14ac:dyDescent="0.2">
      <c r="A194" s="786" t="s">
        <v>1075</v>
      </c>
      <c r="B194" s="786" t="s">
        <v>1075</v>
      </c>
      <c r="C194" s="787" t="s">
        <v>1076</v>
      </c>
      <c r="D194" s="782">
        <v>300</v>
      </c>
      <c r="E194" s="764">
        <v>0</v>
      </c>
      <c r="F194" s="783">
        <v>300</v>
      </c>
      <c r="G194" s="756">
        <f t="shared" si="50"/>
        <v>25</v>
      </c>
      <c r="H194" s="788">
        <f>+H197+H252</f>
        <v>0</v>
      </c>
      <c r="I194" s="758">
        <f t="shared" si="51"/>
        <v>50</v>
      </c>
      <c r="J194" s="759">
        <v>0</v>
      </c>
      <c r="K194" s="758">
        <f t="shared" si="52"/>
        <v>75</v>
      </c>
      <c r="L194" s="759">
        <v>0</v>
      </c>
      <c r="M194" s="759"/>
      <c r="N194" s="759"/>
      <c r="O194" s="759"/>
      <c r="P194" s="759"/>
      <c r="Q194" s="759"/>
      <c r="R194" s="759"/>
      <c r="S194" s="759"/>
      <c r="T194" s="759"/>
      <c r="U194" s="759"/>
      <c r="V194" s="759"/>
      <c r="W194" s="759"/>
      <c r="X194" s="759"/>
    </row>
    <row r="195" spans="1:26" x14ac:dyDescent="0.2">
      <c r="A195" s="786" t="s">
        <v>284</v>
      </c>
      <c r="B195" s="786" t="s">
        <v>284</v>
      </c>
      <c r="C195" s="787" t="s">
        <v>1077</v>
      </c>
      <c r="D195" s="782">
        <v>1500</v>
      </c>
      <c r="E195" s="764">
        <v>643</v>
      </c>
      <c r="F195" s="783">
        <v>1500</v>
      </c>
      <c r="G195" s="756">
        <f t="shared" si="50"/>
        <v>125</v>
      </c>
      <c r="H195" s="788">
        <v>0</v>
      </c>
      <c r="I195" s="758">
        <f t="shared" si="51"/>
        <v>250</v>
      </c>
      <c r="J195" s="759">
        <v>320</v>
      </c>
      <c r="K195" s="758">
        <f t="shared" si="52"/>
        <v>375</v>
      </c>
      <c r="L195" s="759">
        <v>320</v>
      </c>
      <c r="M195" s="759"/>
      <c r="N195" s="759"/>
      <c r="O195" s="759"/>
      <c r="P195" s="759"/>
      <c r="Q195" s="759"/>
      <c r="R195" s="759"/>
      <c r="S195" s="759"/>
      <c r="T195" s="759"/>
      <c r="U195" s="759"/>
      <c r="V195" s="759"/>
      <c r="W195" s="759"/>
      <c r="X195" s="759"/>
    </row>
    <row r="196" spans="1:26" x14ac:dyDescent="0.2">
      <c r="A196" s="786" t="s">
        <v>305</v>
      </c>
      <c r="B196" s="786" t="s">
        <v>284</v>
      </c>
      <c r="C196" s="787" t="s">
        <v>1078</v>
      </c>
      <c r="D196" s="782">
        <v>200</v>
      </c>
      <c r="E196" s="764">
        <v>8.98</v>
      </c>
      <c r="F196" s="783">
        <v>200</v>
      </c>
      <c r="G196" s="756">
        <f t="shared" si="50"/>
        <v>16.666666666666668</v>
      </c>
      <c r="H196" s="788">
        <v>0</v>
      </c>
      <c r="I196" s="758">
        <f t="shared" si="51"/>
        <v>33.333333333333336</v>
      </c>
      <c r="J196" s="759">
        <v>0</v>
      </c>
      <c r="K196" s="758">
        <f t="shared" si="52"/>
        <v>50</v>
      </c>
      <c r="L196" s="759">
        <v>0</v>
      </c>
      <c r="M196" s="759"/>
      <c r="N196" s="759"/>
      <c r="O196" s="759"/>
      <c r="P196" s="759"/>
      <c r="Q196" s="759"/>
      <c r="R196" s="759"/>
      <c r="S196" s="759"/>
      <c r="T196" s="759"/>
      <c r="U196" s="759"/>
      <c r="V196" s="759"/>
      <c r="W196" s="759"/>
      <c r="X196" s="759"/>
    </row>
    <row r="197" spans="1:26" x14ac:dyDescent="0.2">
      <c r="A197" s="786" t="s">
        <v>1079</v>
      </c>
      <c r="B197" s="786" t="s">
        <v>284</v>
      </c>
      <c r="C197" s="787" t="s">
        <v>1080</v>
      </c>
      <c r="D197" s="782">
        <v>100</v>
      </c>
      <c r="E197" s="764">
        <v>0</v>
      </c>
      <c r="F197" s="783">
        <v>100</v>
      </c>
      <c r="G197" s="756">
        <f t="shared" si="50"/>
        <v>8.3333333333333339</v>
      </c>
      <c r="H197" s="788">
        <v>0</v>
      </c>
      <c r="I197" s="758">
        <f t="shared" si="51"/>
        <v>16.666666666666668</v>
      </c>
      <c r="J197" s="759">
        <v>0</v>
      </c>
      <c r="K197" s="758">
        <f t="shared" si="52"/>
        <v>25</v>
      </c>
      <c r="L197" s="759">
        <v>0</v>
      </c>
      <c r="M197" s="759"/>
      <c r="N197" s="759"/>
      <c r="O197" s="759"/>
      <c r="P197" s="759"/>
      <c r="Q197" s="759"/>
      <c r="R197" s="759"/>
      <c r="S197" s="759"/>
      <c r="T197" s="759"/>
      <c r="U197" s="759"/>
      <c r="V197" s="759"/>
      <c r="W197" s="759"/>
      <c r="X197" s="759"/>
    </row>
    <row r="198" spans="1:26" s="367" customFormat="1" x14ac:dyDescent="0.2">
      <c r="A198" s="772" t="s">
        <v>1081</v>
      </c>
      <c r="B198" s="772"/>
      <c r="C198" s="773" t="s">
        <v>1082</v>
      </c>
      <c r="D198" s="774"/>
      <c r="E198" s="792"/>
      <c r="F198" s="776"/>
      <c r="G198" s="776"/>
      <c r="H198" s="777"/>
      <c r="I198" s="777"/>
      <c r="J198" s="777"/>
      <c r="K198" s="778"/>
      <c r="L198" s="777"/>
      <c r="M198" s="777"/>
      <c r="N198" s="777"/>
      <c r="O198" s="777"/>
      <c r="P198" s="777"/>
      <c r="Q198" s="777"/>
      <c r="R198" s="777"/>
      <c r="S198" s="777"/>
      <c r="T198" s="790"/>
      <c r="U198" s="790"/>
      <c r="V198" s="777"/>
      <c r="W198" s="777"/>
      <c r="X198" s="777"/>
      <c r="Y198" s="365"/>
      <c r="Z198" s="366"/>
    </row>
    <row r="199" spans="1:26" x14ac:dyDescent="0.2">
      <c r="A199" s="761" t="s">
        <v>1083</v>
      </c>
      <c r="B199" s="761" t="s">
        <v>1083</v>
      </c>
      <c r="C199" s="762" t="s">
        <v>1084</v>
      </c>
      <c r="D199" s="782">
        <v>20000</v>
      </c>
      <c r="E199" s="764">
        <v>15283.33</v>
      </c>
      <c r="F199" s="783">
        <v>20000</v>
      </c>
      <c r="G199" s="756">
        <f t="shared" ref="G199:G207" si="53">F199*1/12</f>
        <v>1666.6666666666667</v>
      </c>
      <c r="H199" s="759">
        <v>800</v>
      </c>
      <c r="I199" s="758">
        <f t="shared" si="51"/>
        <v>3333.3333333333335</v>
      </c>
      <c r="J199" s="759">
        <v>1810</v>
      </c>
      <c r="K199" s="758">
        <f t="shared" si="52"/>
        <v>5000</v>
      </c>
      <c r="L199" s="759">
        <v>2975</v>
      </c>
      <c r="M199" s="759"/>
      <c r="N199" s="759"/>
      <c r="O199" s="759"/>
      <c r="P199" s="759"/>
      <c r="Q199" s="759"/>
      <c r="R199" s="759"/>
      <c r="S199" s="759"/>
      <c r="T199" s="759"/>
      <c r="U199" s="759"/>
      <c r="V199" s="759"/>
      <c r="W199" s="759"/>
      <c r="X199" s="760"/>
    </row>
    <row r="200" spans="1:26" x14ac:dyDescent="0.2">
      <c r="A200" s="761" t="s">
        <v>245</v>
      </c>
      <c r="B200" s="761" t="s">
        <v>245</v>
      </c>
      <c r="C200" s="762" t="s">
        <v>1085</v>
      </c>
      <c r="D200" s="782">
        <v>14000</v>
      </c>
      <c r="E200" s="764">
        <v>8591.16</v>
      </c>
      <c r="F200" s="783">
        <v>14000</v>
      </c>
      <c r="G200" s="756">
        <f t="shared" si="53"/>
        <v>1166.6666666666667</v>
      </c>
      <c r="H200" s="759">
        <v>0</v>
      </c>
      <c r="I200" s="758">
        <f t="shared" si="51"/>
        <v>2333.3333333333335</v>
      </c>
      <c r="J200" s="759">
        <v>294.89999999999998</v>
      </c>
      <c r="K200" s="758">
        <f t="shared" si="52"/>
        <v>3500</v>
      </c>
      <c r="L200" s="759">
        <v>1022.85</v>
      </c>
      <c r="M200" s="759"/>
      <c r="N200" s="759"/>
      <c r="O200" s="759"/>
      <c r="P200" s="759"/>
      <c r="Q200" s="759"/>
      <c r="R200" s="759"/>
      <c r="S200" s="759"/>
      <c r="T200" s="759"/>
      <c r="U200" s="759"/>
      <c r="V200" s="759"/>
      <c r="W200" s="759"/>
      <c r="X200" s="759"/>
    </row>
    <row r="201" spans="1:26" x14ac:dyDescent="0.2">
      <c r="A201" s="761" t="s">
        <v>1086</v>
      </c>
      <c r="B201" s="761" t="s">
        <v>1086</v>
      </c>
      <c r="C201" s="817" t="s">
        <v>1087</v>
      </c>
      <c r="D201" s="782">
        <v>45000</v>
      </c>
      <c r="E201" s="764">
        <v>41821.25</v>
      </c>
      <c r="F201" s="783">
        <v>45000</v>
      </c>
      <c r="G201" s="756">
        <f t="shared" si="53"/>
        <v>3750</v>
      </c>
      <c r="H201" s="759">
        <v>797.5</v>
      </c>
      <c r="I201" s="758">
        <f t="shared" si="51"/>
        <v>7500</v>
      </c>
      <c r="J201" s="759">
        <v>797.5</v>
      </c>
      <c r="K201" s="758">
        <f t="shared" si="52"/>
        <v>11250</v>
      </c>
      <c r="L201" s="759">
        <v>797.5</v>
      </c>
      <c r="M201" s="759"/>
      <c r="N201" s="759"/>
      <c r="O201" s="759"/>
      <c r="P201" s="759"/>
      <c r="Q201" s="759"/>
      <c r="R201" s="759"/>
      <c r="S201" s="759"/>
      <c r="T201" s="759"/>
      <c r="U201" s="759"/>
      <c r="V201" s="759"/>
      <c r="W201" s="759"/>
      <c r="X201" s="759"/>
    </row>
    <row r="202" spans="1:26" x14ac:dyDescent="0.2">
      <c r="A202" s="761" t="s">
        <v>269</v>
      </c>
      <c r="B202" s="761" t="s">
        <v>269</v>
      </c>
      <c r="C202" s="762" t="s">
        <v>1088</v>
      </c>
      <c r="D202" s="782">
        <v>3000</v>
      </c>
      <c r="E202" s="764">
        <v>1120</v>
      </c>
      <c r="F202" s="783">
        <v>3000</v>
      </c>
      <c r="G202" s="756">
        <f t="shared" si="53"/>
        <v>250</v>
      </c>
      <c r="H202" s="759">
        <v>0</v>
      </c>
      <c r="I202" s="758">
        <f t="shared" si="51"/>
        <v>500</v>
      </c>
      <c r="J202" s="759">
        <v>0</v>
      </c>
      <c r="K202" s="758">
        <f t="shared" si="52"/>
        <v>750</v>
      </c>
      <c r="L202" s="759">
        <v>130</v>
      </c>
      <c r="M202" s="759"/>
      <c r="N202" s="759"/>
      <c r="O202" s="759"/>
      <c r="P202" s="759"/>
      <c r="Q202" s="759"/>
      <c r="R202" s="759"/>
      <c r="S202" s="759"/>
      <c r="T202" s="759"/>
      <c r="U202" s="759"/>
      <c r="V202" s="759"/>
      <c r="W202" s="759"/>
      <c r="X202" s="759"/>
    </row>
    <row r="203" spans="1:26" x14ac:dyDescent="0.2">
      <c r="A203" s="761" t="s">
        <v>295</v>
      </c>
      <c r="B203" s="761" t="s">
        <v>245</v>
      </c>
      <c r="C203" s="818" t="s">
        <v>1089</v>
      </c>
      <c r="D203" s="782">
        <v>2000</v>
      </c>
      <c r="E203" s="764">
        <v>118.19</v>
      </c>
      <c r="F203" s="783">
        <v>2000</v>
      </c>
      <c r="G203" s="756">
        <f t="shared" si="53"/>
        <v>166.66666666666666</v>
      </c>
      <c r="H203" s="759">
        <v>0</v>
      </c>
      <c r="I203" s="758">
        <f t="shared" si="51"/>
        <v>333.33333333333331</v>
      </c>
      <c r="J203" s="759">
        <v>0</v>
      </c>
      <c r="K203" s="758">
        <f t="shared" si="52"/>
        <v>500</v>
      </c>
      <c r="L203" s="759">
        <v>6.74</v>
      </c>
      <c r="M203" s="759"/>
      <c r="N203" s="759"/>
      <c r="O203" s="759"/>
      <c r="P203" s="759"/>
      <c r="Q203" s="759"/>
      <c r="R203" s="759"/>
      <c r="S203" s="759"/>
      <c r="T203" s="759"/>
      <c r="U203" s="759"/>
      <c r="V203" s="759"/>
      <c r="W203" s="759"/>
      <c r="X203" s="759"/>
    </row>
    <row r="204" spans="1:26" x14ac:dyDescent="0.2">
      <c r="A204" s="761" t="s">
        <v>382</v>
      </c>
      <c r="B204" s="761" t="s">
        <v>269</v>
      </c>
      <c r="C204" s="819" t="s">
        <v>1090</v>
      </c>
      <c r="D204" s="782">
        <v>4000</v>
      </c>
      <c r="E204" s="764">
        <v>0</v>
      </c>
      <c r="F204" s="783">
        <v>4000</v>
      </c>
      <c r="G204" s="756">
        <f t="shared" si="53"/>
        <v>333.33333333333331</v>
      </c>
      <c r="H204" s="759">
        <v>0</v>
      </c>
      <c r="I204" s="758">
        <f t="shared" si="51"/>
        <v>666.66666666666663</v>
      </c>
      <c r="J204" s="759">
        <v>0</v>
      </c>
      <c r="K204" s="758">
        <f t="shared" si="52"/>
        <v>1000</v>
      </c>
      <c r="L204" s="759">
        <v>0</v>
      </c>
      <c r="M204" s="759"/>
      <c r="N204" s="759"/>
      <c r="O204" s="759"/>
      <c r="P204" s="759"/>
      <c r="Q204" s="759"/>
      <c r="R204" s="759"/>
      <c r="S204" s="759"/>
      <c r="T204" s="759"/>
      <c r="U204" s="759"/>
      <c r="V204" s="759"/>
      <c r="W204" s="759"/>
      <c r="X204" s="760"/>
    </row>
    <row r="205" spans="1:26" x14ac:dyDescent="0.2">
      <c r="A205" s="761" t="s">
        <v>370</v>
      </c>
      <c r="B205" s="761" t="s">
        <v>269</v>
      </c>
      <c r="C205" s="762" t="s">
        <v>1091</v>
      </c>
      <c r="D205" s="782">
        <v>300</v>
      </c>
      <c r="E205" s="764">
        <v>0</v>
      </c>
      <c r="F205" s="783">
        <v>300</v>
      </c>
      <c r="G205" s="756">
        <f t="shared" si="53"/>
        <v>25</v>
      </c>
      <c r="H205" s="759">
        <v>0</v>
      </c>
      <c r="I205" s="758">
        <f t="shared" si="51"/>
        <v>50</v>
      </c>
      <c r="J205" s="759">
        <v>0</v>
      </c>
      <c r="K205" s="758">
        <f t="shared" si="52"/>
        <v>75</v>
      </c>
      <c r="L205" s="759">
        <v>0</v>
      </c>
      <c r="M205" s="759"/>
      <c r="N205" s="759"/>
      <c r="O205" s="759"/>
      <c r="P205" s="759"/>
      <c r="Q205" s="759"/>
      <c r="R205" s="759"/>
      <c r="S205" s="759"/>
      <c r="T205" s="759"/>
      <c r="U205" s="759"/>
      <c r="V205" s="759"/>
      <c r="W205" s="759"/>
      <c r="X205" s="759"/>
    </row>
    <row r="206" spans="1:26" x14ac:dyDescent="0.2">
      <c r="A206" s="761" t="s">
        <v>1092</v>
      </c>
      <c r="B206" s="761" t="s">
        <v>269</v>
      </c>
      <c r="C206" s="762" t="s">
        <v>1093</v>
      </c>
      <c r="D206" s="782">
        <v>4000</v>
      </c>
      <c r="E206" s="764">
        <v>2507.77</v>
      </c>
      <c r="F206" s="783">
        <v>4000</v>
      </c>
      <c r="G206" s="756">
        <f t="shared" si="53"/>
        <v>333.33333333333331</v>
      </c>
      <c r="H206" s="759">
        <v>269</v>
      </c>
      <c r="I206" s="758">
        <f t="shared" si="51"/>
        <v>666.66666666666663</v>
      </c>
      <c r="J206" s="759">
        <v>680.97</v>
      </c>
      <c r="K206" s="758">
        <f t="shared" si="52"/>
        <v>1000</v>
      </c>
      <c r="L206" s="759">
        <v>680.97</v>
      </c>
      <c r="M206" s="759"/>
      <c r="N206" s="759"/>
      <c r="O206" s="759"/>
      <c r="P206" s="759"/>
      <c r="Q206" s="759"/>
      <c r="R206" s="759"/>
      <c r="S206" s="759"/>
      <c r="T206" s="759"/>
      <c r="U206" s="759"/>
      <c r="V206" s="759"/>
      <c r="W206" s="759"/>
      <c r="X206" s="759"/>
    </row>
    <row r="207" spans="1:26" x14ac:dyDescent="0.2">
      <c r="A207" s="761" t="s">
        <v>1094</v>
      </c>
      <c r="B207" s="761" t="s">
        <v>269</v>
      </c>
      <c r="C207" s="762" t="s">
        <v>1095</v>
      </c>
      <c r="D207" s="782">
        <v>700</v>
      </c>
      <c r="E207" s="764">
        <v>0</v>
      </c>
      <c r="F207" s="783">
        <v>700</v>
      </c>
      <c r="G207" s="756">
        <f t="shared" si="53"/>
        <v>58.333333333333336</v>
      </c>
      <c r="H207" s="759">
        <v>0</v>
      </c>
      <c r="I207" s="758">
        <f t="shared" si="51"/>
        <v>116.66666666666667</v>
      </c>
      <c r="J207" s="759">
        <v>0</v>
      </c>
      <c r="K207" s="758">
        <f t="shared" si="52"/>
        <v>175</v>
      </c>
      <c r="L207" s="759">
        <v>0</v>
      </c>
      <c r="M207" s="759"/>
      <c r="N207" s="759"/>
      <c r="O207" s="759"/>
      <c r="P207" s="759"/>
      <c r="Q207" s="759"/>
      <c r="R207" s="759"/>
      <c r="S207" s="759"/>
      <c r="T207" s="759"/>
      <c r="U207" s="759"/>
      <c r="V207" s="759"/>
      <c r="W207" s="759"/>
      <c r="X207" s="759"/>
    </row>
    <row r="208" spans="1:26" s="367" customFormat="1" x14ac:dyDescent="0.2">
      <c r="A208" s="772" t="s">
        <v>1096</v>
      </c>
      <c r="B208" s="772"/>
      <c r="C208" s="773" t="s">
        <v>1097</v>
      </c>
      <c r="D208" s="774"/>
      <c r="E208" s="792"/>
      <c r="F208" s="776"/>
      <c r="G208" s="776"/>
      <c r="H208" s="777"/>
      <c r="I208" s="777"/>
      <c r="J208" s="777"/>
      <c r="K208" s="778"/>
      <c r="L208" s="777"/>
      <c r="M208" s="777"/>
      <c r="N208" s="777"/>
      <c r="O208" s="777"/>
      <c r="P208" s="777"/>
      <c r="Q208" s="777"/>
      <c r="R208" s="777"/>
      <c r="S208" s="777"/>
      <c r="T208" s="790"/>
      <c r="U208" s="790"/>
      <c r="V208" s="777"/>
      <c r="W208" s="777"/>
      <c r="X208" s="777"/>
      <c r="Y208" s="365"/>
      <c r="Z208" s="366"/>
    </row>
    <row r="209" spans="1:26" x14ac:dyDescent="0.2">
      <c r="A209" s="786" t="s">
        <v>1098</v>
      </c>
      <c r="B209" s="787" t="s">
        <v>1098</v>
      </c>
      <c r="C209" s="762" t="s">
        <v>1099</v>
      </c>
      <c r="D209" s="782">
        <v>11000</v>
      </c>
      <c r="E209" s="764">
        <v>7280</v>
      </c>
      <c r="F209" s="783">
        <v>11000</v>
      </c>
      <c r="G209" s="756">
        <f>F209*1/12</f>
        <v>916.66666666666663</v>
      </c>
      <c r="H209" s="759">
        <v>795</v>
      </c>
      <c r="I209" s="758">
        <f t="shared" si="51"/>
        <v>1833.3333333333333</v>
      </c>
      <c r="J209" s="759">
        <v>1865</v>
      </c>
      <c r="K209" s="758">
        <f t="shared" si="52"/>
        <v>2750</v>
      </c>
      <c r="L209" s="759">
        <v>2540</v>
      </c>
      <c r="M209" s="759"/>
      <c r="N209" s="759"/>
      <c r="O209" s="759"/>
      <c r="P209" s="759"/>
      <c r="Q209" s="759"/>
      <c r="R209" s="759"/>
      <c r="S209" s="759"/>
      <c r="T209" s="759"/>
      <c r="U209" s="759"/>
      <c r="V209" s="759"/>
      <c r="W209" s="759"/>
      <c r="X209" s="760"/>
    </row>
    <row r="210" spans="1:26" x14ac:dyDescent="0.2">
      <c r="A210" s="786" t="s">
        <v>247</v>
      </c>
      <c r="B210" s="787" t="s">
        <v>247</v>
      </c>
      <c r="C210" s="762" t="s">
        <v>1100</v>
      </c>
      <c r="D210" s="782">
        <v>1000</v>
      </c>
      <c r="E210" s="764">
        <v>501.44</v>
      </c>
      <c r="F210" s="783">
        <v>1000</v>
      </c>
      <c r="G210" s="756">
        <f t="shared" ref="G210:G217" si="54">F210*1/12</f>
        <v>83.333333333333329</v>
      </c>
      <c r="H210" s="759">
        <v>69</v>
      </c>
      <c r="I210" s="758">
        <f t="shared" si="51"/>
        <v>166.66666666666666</v>
      </c>
      <c r="J210" s="759">
        <v>146</v>
      </c>
      <c r="K210" s="758">
        <f t="shared" si="52"/>
        <v>250</v>
      </c>
      <c r="L210" s="759">
        <v>146</v>
      </c>
      <c r="M210" s="759"/>
      <c r="N210" s="759"/>
      <c r="O210" s="759"/>
      <c r="P210" s="759"/>
      <c r="Q210" s="759"/>
      <c r="R210" s="759"/>
      <c r="S210" s="759"/>
      <c r="T210" s="759"/>
      <c r="U210" s="759"/>
      <c r="V210" s="759"/>
      <c r="W210" s="759"/>
      <c r="X210" s="759"/>
    </row>
    <row r="211" spans="1:26" x14ac:dyDescent="0.2">
      <c r="A211" s="786" t="s">
        <v>1101</v>
      </c>
      <c r="B211" s="787" t="s">
        <v>1101</v>
      </c>
      <c r="C211" s="817" t="s">
        <v>1102</v>
      </c>
      <c r="D211" s="782">
        <v>3000</v>
      </c>
      <c r="E211" s="793">
        <v>4544.7</v>
      </c>
      <c r="F211" s="783">
        <v>3000</v>
      </c>
      <c r="G211" s="756">
        <f t="shared" si="54"/>
        <v>250</v>
      </c>
      <c r="H211" s="759">
        <v>600</v>
      </c>
      <c r="I211" s="758">
        <f t="shared" si="51"/>
        <v>500</v>
      </c>
      <c r="J211" s="759">
        <v>600</v>
      </c>
      <c r="K211" s="758">
        <f t="shared" si="52"/>
        <v>750</v>
      </c>
      <c r="L211" s="759">
        <v>600</v>
      </c>
      <c r="M211" s="759"/>
      <c r="N211" s="759"/>
      <c r="O211" s="759"/>
      <c r="P211" s="759"/>
      <c r="Q211" s="759"/>
      <c r="R211" s="759"/>
      <c r="S211" s="759"/>
      <c r="T211" s="759"/>
      <c r="U211" s="759"/>
      <c r="V211" s="794"/>
      <c r="W211" s="794"/>
      <c r="X211" s="759"/>
    </row>
    <row r="212" spans="1:26" x14ac:dyDescent="0.2">
      <c r="A212" s="786" t="s">
        <v>272</v>
      </c>
      <c r="B212" s="787" t="s">
        <v>272</v>
      </c>
      <c r="C212" s="762" t="s">
        <v>1103</v>
      </c>
      <c r="D212" s="782">
        <v>500</v>
      </c>
      <c r="E212" s="764">
        <v>302.39999999999998</v>
      </c>
      <c r="F212" s="783">
        <v>500</v>
      </c>
      <c r="G212" s="756">
        <f t="shared" si="54"/>
        <v>41.666666666666664</v>
      </c>
      <c r="H212" s="759">
        <v>0</v>
      </c>
      <c r="I212" s="758">
        <f t="shared" si="51"/>
        <v>83.333333333333329</v>
      </c>
      <c r="J212" s="759">
        <v>0</v>
      </c>
      <c r="K212" s="758">
        <f t="shared" si="52"/>
        <v>125</v>
      </c>
      <c r="L212" s="759">
        <v>0</v>
      </c>
      <c r="M212" s="759"/>
      <c r="N212" s="759"/>
      <c r="O212" s="759"/>
      <c r="P212" s="759"/>
      <c r="Q212" s="759"/>
      <c r="R212" s="759"/>
      <c r="S212" s="759"/>
      <c r="T212" s="759"/>
      <c r="U212" s="759"/>
      <c r="V212" s="759"/>
      <c r="W212" s="759"/>
      <c r="X212" s="760"/>
    </row>
    <row r="213" spans="1:26" x14ac:dyDescent="0.2">
      <c r="A213" s="786" t="s">
        <v>297</v>
      </c>
      <c r="B213" s="786" t="s">
        <v>247</v>
      </c>
      <c r="C213" s="818" t="s">
        <v>1104</v>
      </c>
      <c r="D213" s="782">
        <v>100</v>
      </c>
      <c r="E213" s="764">
        <v>0</v>
      </c>
      <c r="F213" s="783">
        <v>100</v>
      </c>
      <c r="G213" s="756">
        <f t="shared" si="54"/>
        <v>8.3333333333333339</v>
      </c>
      <c r="H213" s="759">
        <v>0</v>
      </c>
      <c r="I213" s="758">
        <f t="shared" si="51"/>
        <v>16.666666666666668</v>
      </c>
      <c r="J213" s="759">
        <v>0</v>
      </c>
      <c r="K213" s="758">
        <f t="shared" si="52"/>
        <v>25</v>
      </c>
      <c r="L213" s="759">
        <v>0</v>
      </c>
      <c r="M213" s="759"/>
      <c r="N213" s="759"/>
      <c r="O213" s="759"/>
      <c r="P213" s="759"/>
      <c r="Q213" s="759"/>
      <c r="R213" s="759"/>
      <c r="S213" s="759"/>
      <c r="T213" s="759"/>
      <c r="U213" s="759"/>
      <c r="V213" s="759"/>
      <c r="W213" s="759"/>
      <c r="X213" s="759"/>
    </row>
    <row r="214" spans="1:26" x14ac:dyDescent="0.2">
      <c r="A214" s="786" t="s">
        <v>384</v>
      </c>
      <c r="B214" s="786" t="s">
        <v>272</v>
      </c>
      <c r="C214" s="819" t="s">
        <v>1105</v>
      </c>
      <c r="D214" s="782">
        <v>500</v>
      </c>
      <c r="E214" s="764">
        <v>0</v>
      </c>
      <c r="F214" s="783">
        <v>500</v>
      </c>
      <c r="G214" s="756">
        <f t="shared" si="54"/>
        <v>41.666666666666664</v>
      </c>
      <c r="H214" s="759">
        <v>0</v>
      </c>
      <c r="I214" s="758">
        <f t="shared" si="51"/>
        <v>83.333333333333329</v>
      </c>
      <c r="J214" s="759">
        <v>0</v>
      </c>
      <c r="K214" s="758">
        <f t="shared" si="52"/>
        <v>125</v>
      </c>
      <c r="L214" s="759">
        <v>0</v>
      </c>
      <c r="M214" s="759"/>
      <c r="N214" s="759"/>
      <c r="O214" s="759"/>
      <c r="P214" s="759"/>
      <c r="Q214" s="759"/>
      <c r="R214" s="759"/>
      <c r="S214" s="759"/>
      <c r="T214" s="759"/>
      <c r="U214" s="759"/>
      <c r="V214" s="759"/>
      <c r="W214" s="759"/>
      <c r="X214" s="759"/>
    </row>
    <row r="215" spans="1:26" x14ac:dyDescent="0.2">
      <c r="A215" s="786" t="s">
        <v>372</v>
      </c>
      <c r="B215" s="787" t="s">
        <v>272</v>
      </c>
      <c r="C215" s="762" t="s">
        <v>1106</v>
      </c>
      <c r="D215" s="782">
        <v>100</v>
      </c>
      <c r="E215" s="764">
        <v>0</v>
      </c>
      <c r="F215" s="783">
        <v>100</v>
      </c>
      <c r="G215" s="756">
        <f t="shared" si="54"/>
        <v>8.3333333333333339</v>
      </c>
      <c r="H215" s="759">
        <v>0</v>
      </c>
      <c r="I215" s="758">
        <f t="shared" si="51"/>
        <v>16.666666666666668</v>
      </c>
      <c r="J215" s="759">
        <v>0</v>
      </c>
      <c r="K215" s="758">
        <f t="shared" si="52"/>
        <v>25</v>
      </c>
      <c r="L215" s="759">
        <v>0</v>
      </c>
      <c r="M215" s="759"/>
      <c r="N215" s="759"/>
      <c r="O215" s="759"/>
      <c r="P215" s="759"/>
      <c r="Q215" s="759"/>
      <c r="R215" s="759"/>
      <c r="S215" s="759"/>
      <c r="T215" s="759"/>
      <c r="U215" s="759"/>
      <c r="V215" s="759"/>
      <c r="W215" s="759"/>
      <c r="X215" s="759"/>
    </row>
    <row r="216" spans="1:26" x14ac:dyDescent="0.2">
      <c r="A216" s="786" t="s">
        <v>1107</v>
      </c>
      <c r="B216" s="787" t="s">
        <v>272</v>
      </c>
      <c r="C216" s="762" t="s">
        <v>1108</v>
      </c>
      <c r="D216" s="782">
        <v>500</v>
      </c>
      <c r="E216" s="764">
        <v>30</v>
      </c>
      <c r="F216" s="783">
        <v>500</v>
      </c>
      <c r="G216" s="756">
        <f t="shared" si="54"/>
        <v>41.666666666666664</v>
      </c>
      <c r="H216" s="759">
        <v>0</v>
      </c>
      <c r="I216" s="758">
        <f t="shared" si="51"/>
        <v>83.333333333333329</v>
      </c>
      <c r="J216" s="759">
        <v>240</v>
      </c>
      <c r="K216" s="758">
        <f t="shared" si="52"/>
        <v>125</v>
      </c>
      <c r="L216" s="759">
        <v>240</v>
      </c>
      <c r="M216" s="759"/>
      <c r="N216" s="759"/>
      <c r="O216" s="759"/>
      <c r="P216" s="759"/>
      <c r="Q216" s="759"/>
      <c r="R216" s="759"/>
      <c r="S216" s="759"/>
      <c r="T216" s="759"/>
      <c r="U216" s="759"/>
      <c r="V216" s="759"/>
      <c r="W216" s="759"/>
      <c r="X216" s="759"/>
    </row>
    <row r="217" spans="1:26" x14ac:dyDescent="0.2">
      <c r="A217" s="786" t="s">
        <v>1109</v>
      </c>
      <c r="B217" s="787" t="s">
        <v>272</v>
      </c>
      <c r="C217" s="762" t="s">
        <v>1110</v>
      </c>
      <c r="D217" s="782">
        <v>200</v>
      </c>
      <c r="E217" s="764">
        <v>0</v>
      </c>
      <c r="F217" s="783">
        <v>200</v>
      </c>
      <c r="G217" s="756">
        <f t="shared" si="54"/>
        <v>16.666666666666668</v>
      </c>
      <c r="H217" s="759">
        <v>0</v>
      </c>
      <c r="I217" s="758">
        <f t="shared" si="51"/>
        <v>33.333333333333336</v>
      </c>
      <c r="J217" s="759">
        <v>0</v>
      </c>
      <c r="K217" s="758">
        <f t="shared" si="52"/>
        <v>50</v>
      </c>
      <c r="L217" s="759">
        <v>0</v>
      </c>
      <c r="M217" s="759"/>
      <c r="N217" s="759"/>
      <c r="O217" s="759"/>
      <c r="P217" s="759"/>
      <c r="Q217" s="759"/>
      <c r="R217" s="759"/>
      <c r="S217" s="759"/>
      <c r="T217" s="759"/>
      <c r="U217" s="759"/>
      <c r="V217" s="759"/>
      <c r="W217" s="759"/>
      <c r="X217" s="759"/>
    </row>
    <row r="218" spans="1:26" s="367" customFormat="1" x14ac:dyDescent="0.2">
      <c r="A218" s="772" t="s">
        <v>1111</v>
      </c>
      <c r="B218" s="772"/>
      <c r="C218" s="773" t="s">
        <v>1112</v>
      </c>
      <c r="D218" s="774"/>
      <c r="E218" s="792"/>
      <c r="F218" s="776"/>
      <c r="G218" s="776"/>
      <c r="H218" s="777"/>
      <c r="I218" s="777"/>
      <c r="J218" s="777"/>
      <c r="K218" s="778"/>
      <c r="L218" s="777"/>
      <c r="M218" s="777"/>
      <c r="N218" s="777"/>
      <c r="O218" s="777"/>
      <c r="P218" s="777"/>
      <c r="Q218" s="777"/>
      <c r="R218" s="777"/>
      <c r="S218" s="777"/>
      <c r="T218" s="790"/>
      <c r="U218" s="790"/>
      <c r="V218" s="777"/>
      <c r="W218" s="777"/>
      <c r="X218" s="777"/>
      <c r="Y218" s="365"/>
      <c r="Z218" s="366"/>
    </row>
    <row r="219" spans="1:26" x14ac:dyDescent="0.2">
      <c r="A219" s="786" t="s">
        <v>1113</v>
      </c>
      <c r="B219" s="786" t="s">
        <v>1113</v>
      </c>
      <c r="C219" s="818" t="s">
        <v>1114</v>
      </c>
      <c r="D219" s="782">
        <v>12000</v>
      </c>
      <c r="E219" s="793">
        <v>12610</v>
      </c>
      <c r="F219" s="783">
        <v>12000</v>
      </c>
      <c r="G219" s="756">
        <f t="shared" ref="G219:G227" si="55">F219*1/12</f>
        <v>1000</v>
      </c>
      <c r="H219" s="788">
        <v>800</v>
      </c>
      <c r="I219" s="758">
        <f t="shared" si="51"/>
        <v>2000</v>
      </c>
      <c r="J219" s="788">
        <v>2070</v>
      </c>
      <c r="K219" s="758">
        <f t="shared" si="52"/>
        <v>3000</v>
      </c>
      <c r="L219" s="788">
        <v>4210</v>
      </c>
      <c r="M219" s="788"/>
      <c r="N219" s="788"/>
      <c r="O219" s="788"/>
      <c r="P219" s="788"/>
      <c r="Q219" s="788"/>
      <c r="R219" s="788"/>
      <c r="S219" s="788"/>
      <c r="T219" s="788"/>
      <c r="U219" s="788"/>
      <c r="V219" s="788"/>
      <c r="W219" s="788"/>
      <c r="X219" s="788"/>
    </row>
    <row r="220" spans="1:26" x14ac:dyDescent="0.2">
      <c r="A220" s="786" t="s">
        <v>249</v>
      </c>
      <c r="B220" s="786" t="s">
        <v>249</v>
      </c>
      <c r="C220" s="818" t="s">
        <v>1115</v>
      </c>
      <c r="D220" s="782">
        <v>1500</v>
      </c>
      <c r="E220" s="791">
        <v>897.76</v>
      </c>
      <c r="F220" s="783">
        <v>1500</v>
      </c>
      <c r="G220" s="756">
        <f t="shared" si="55"/>
        <v>125</v>
      </c>
      <c r="H220" s="788">
        <v>0</v>
      </c>
      <c r="I220" s="758">
        <f t="shared" si="51"/>
        <v>250</v>
      </c>
      <c r="J220" s="788">
        <v>167.4</v>
      </c>
      <c r="K220" s="758">
        <f t="shared" si="52"/>
        <v>375</v>
      </c>
      <c r="L220" s="788">
        <v>787.43</v>
      </c>
      <c r="M220" s="788"/>
      <c r="N220" s="788"/>
      <c r="O220" s="788"/>
      <c r="P220" s="788"/>
      <c r="Q220" s="788"/>
      <c r="R220" s="788"/>
      <c r="S220" s="788"/>
      <c r="T220" s="788"/>
      <c r="U220" s="788"/>
      <c r="V220" s="788"/>
      <c r="W220" s="788"/>
      <c r="X220" s="788"/>
    </row>
    <row r="221" spans="1:26" x14ac:dyDescent="0.2">
      <c r="A221" s="786" t="s">
        <v>1116</v>
      </c>
      <c r="B221" s="786" t="s">
        <v>1116</v>
      </c>
      <c r="C221" s="819" t="s">
        <v>1117</v>
      </c>
      <c r="D221" s="782">
        <v>23000</v>
      </c>
      <c r="E221" s="791">
        <v>22905</v>
      </c>
      <c r="F221" s="783">
        <v>23000</v>
      </c>
      <c r="G221" s="756">
        <f t="shared" si="55"/>
        <v>1916.6666666666667</v>
      </c>
      <c r="H221" s="788">
        <v>0</v>
      </c>
      <c r="I221" s="758">
        <f t="shared" si="51"/>
        <v>3833.3333333333335</v>
      </c>
      <c r="J221" s="788">
        <v>105</v>
      </c>
      <c r="K221" s="758">
        <f t="shared" si="52"/>
        <v>5750</v>
      </c>
      <c r="L221" s="788">
        <v>105</v>
      </c>
      <c r="M221" s="788"/>
      <c r="N221" s="788"/>
      <c r="O221" s="788"/>
      <c r="P221" s="788"/>
      <c r="Q221" s="788"/>
      <c r="R221" s="788"/>
      <c r="S221" s="788"/>
      <c r="T221" s="788"/>
      <c r="U221" s="788"/>
      <c r="V221" s="788"/>
      <c r="W221" s="788"/>
      <c r="X221" s="788"/>
    </row>
    <row r="222" spans="1:26" x14ac:dyDescent="0.2">
      <c r="A222" s="786" t="s">
        <v>275</v>
      </c>
      <c r="B222" s="786" t="s">
        <v>275</v>
      </c>
      <c r="C222" s="818" t="s">
        <v>1118</v>
      </c>
      <c r="D222" s="782">
        <v>500</v>
      </c>
      <c r="E222" s="793">
        <v>551</v>
      </c>
      <c r="F222" s="783">
        <v>500</v>
      </c>
      <c r="G222" s="756">
        <f t="shared" si="55"/>
        <v>41.666666666666664</v>
      </c>
      <c r="H222" s="788">
        <v>152</v>
      </c>
      <c r="I222" s="758">
        <f t="shared" si="51"/>
        <v>83.333333333333329</v>
      </c>
      <c r="J222" s="788">
        <v>152</v>
      </c>
      <c r="K222" s="758">
        <f t="shared" si="52"/>
        <v>125</v>
      </c>
      <c r="L222" s="788">
        <v>202.97</v>
      </c>
      <c r="M222" s="788"/>
      <c r="N222" s="788"/>
      <c r="O222" s="788"/>
      <c r="P222" s="788"/>
      <c r="Q222" s="788"/>
      <c r="R222" s="788"/>
      <c r="S222" s="788"/>
      <c r="T222" s="788"/>
      <c r="U222" s="788"/>
      <c r="V222" s="794"/>
      <c r="W222" s="794"/>
      <c r="X222" s="788"/>
    </row>
    <row r="223" spans="1:26" x14ac:dyDescent="0.2">
      <c r="A223" s="786" t="s">
        <v>299</v>
      </c>
      <c r="B223" s="786" t="s">
        <v>249</v>
      </c>
      <c r="C223" s="818" t="s">
        <v>1119</v>
      </c>
      <c r="D223" s="782">
        <v>500</v>
      </c>
      <c r="E223" s="791">
        <v>0</v>
      </c>
      <c r="F223" s="783">
        <v>500</v>
      </c>
      <c r="G223" s="756">
        <f t="shared" si="55"/>
        <v>41.666666666666664</v>
      </c>
      <c r="H223" s="788">
        <v>0</v>
      </c>
      <c r="I223" s="758">
        <f t="shared" si="51"/>
        <v>83.333333333333329</v>
      </c>
      <c r="J223" s="788">
        <v>200</v>
      </c>
      <c r="K223" s="758">
        <f t="shared" si="52"/>
        <v>125</v>
      </c>
      <c r="L223" s="788">
        <v>200</v>
      </c>
      <c r="M223" s="788"/>
      <c r="N223" s="788"/>
      <c r="O223" s="788"/>
      <c r="P223" s="788"/>
      <c r="Q223" s="788"/>
      <c r="R223" s="788"/>
      <c r="S223" s="788"/>
      <c r="T223" s="788"/>
      <c r="U223" s="788"/>
      <c r="V223" s="788"/>
      <c r="W223" s="788"/>
      <c r="X223" s="788"/>
    </row>
    <row r="224" spans="1:26" x14ac:dyDescent="0.2">
      <c r="A224" s="786" t="s">
        <v>386</v>
      </c>
      <c r="B224" s="786" t="s">
        <v>275</v>
      </c>
      <c r="C224" s="819" t="s">
        <v>1120</v>
      </c>
      <c r="D224" s="782">
        <v>2000</v>
      </c>
      <c r="E224" s="791">
        <v>0</v>
      </c>
      <c r="F224" s="783">
        <v>2000</v>
      </c>
      <c r="G224" s="756">
        <f t="shared" si="55"/>
        <v>166.66666666666666</v>
      </c>
      <c r="H224" s="788">
        <v>0</v>
      </c>
      <c r="I224" s="758">
        <f t="shared" si="51"/>
        <v>333.33333333333331</v>
      </c>
      <c r="J224" s="788">
        <v>0</v>
      </c>
      <c r="K224" s="758">
        <f t="shared" si="52"/>
        <v>500</v>
      </c>
      <c r="L224" s="788">
        <v>0</v>
      </c>
      <c r="M224" s="788"/>
      <c r="N224" s="788"/>
      <c r="O224" s="788"/>
      <c r="P224" s="788"/>
      <c r="Q224" s="788"/>
      <c r="R224" s="788"/>
      <c r="S224" s="788"/>
      <c r="T224" s="788"/>
      <c r="U224" s="788"/>
      <c r="V224" s="788"/>
      <c r="W224" s="788"/>
      <c r="X224" s="788"/>
    </row>
    <row r="225" spans="1:26" x14ac:dyDescent="0.2">
      <c r="A225" s="786" t="s">
        <v>374</v>
      </c>
      <c r="B225" s="786" t="s">
        <v>275</v>
      </c>
      <c r="C225" s="818" t="s">
        <v>1121</v>
      </c>
      <c r="D225" s="782">
        <v>200</v>
      </c>
      <c r="E225" s="791">
        <v>0</v>
      </c>
      <c r="F225" s="783">
        <v>200</v>
      </c>
      <c r="G225" s="756">
        <f t="shared" si="55"/>
        <v>16.666666666666668</v>
      </c>
      <c r="H225" s="788">
        <v>0</v>
      </c>
      <c r="I225" s="758">
        <f t="shared" si="51"/>
        <v>33.333333333333336</v>
      </c>
      <c r="J225" s="788">
        <v>0</v>
      </c>
      <c r="K225" s="758">
        <f t="shared" si="52"/>
        <v>50</v>
      </c>
      <c r="L225" s="788">
        <v>0</v>
      </c>
      <c r="M225" s="788"/>
      <c r="N225" s="788"/>
      <c r="O225" s="788"/>
      <c r="P225" s="788"/>
      <c r="Q225" s="788"/>
      <c r="R225" s="788"/>
      <c r="S225" s="788"/>
      <c r="T225" s="788"/>
      <c r="U225" s="788"/>
      <c r="V225" s="788"/>
      <c r="W225" s="788"/>
      <c r="X225" s="788"/>
    </row>
    <row r="226" spans="1:26" x14ac:dyDescent="0.2">
      <c r="A226" s="786" t="s">
        <v>1122</v>
      </c>
      <c r="B226" s="786" t="s">
        <v>275</v>
      </c>
      <c r="C226" s="818" t="s">
        <v>1123</v>
      </c>
      <c r="D226" s="782">
        <v>1000</v>
      </c>
      <c r="E226" s="791">
        <v>30</v>
      </c>
      <c r="F226" s="783">
        <v>1000</v>
      </c>
      <c r="G226" s="756">
        <f t="shared" si="55"/>
        <v>83.333333333333329</v>
      </c>
      <c r="H226" s="788">
        <v>0</v>
      </c>
      <c r="I226" s="758">
        <f t="shared" si="51"/>
        <v>166.66666666666666</v>
      </c>
      <c r="J226" s="788">
        <v>0</v>
      </c>
      <c r="K226" s="758">
        <f t="shared" si="52"/>
        <v>250</v>
      </c>
      <c r="L226" s="788">
        <v>30</v>
      </c>
      <c r="M226" s="788"/>
      <c r="N226" s="788"/>
      <c r="O226" s="788"/>
      <c r="P226" s="788"/>
      <c r="Q226" s="788"/>
      <c r="R226" s="788"/>
      <c r="S226" s="788"/>
      <c r="T226" s="788"/>
      <c r="U226" s="788"/>
      <c r="V226" s="788"/>
      <c r="W226" s="788"/>
      <c r="X226" s="788"/>
    </row>
    <row r="227" spans="1:26" x14ac:dyDescent="0.2">
      <c r="A227" s="786" t="s">
        <v>1124</v>
      </c>
      <c r="B227" s="786" t="s">
        <v>275</v>
      </c>
      <c r="C227" s="818" t="s">
        <v>1125</v>
      </c>
      <c r="D227" s="782">
        <v>500</v>
      </c>
      <c r="E227" s="791">
        <v>0</v>
      </c>
      <c r="F227" s="783">
        <v>500</v>
      </c>
      <c r="G227" s="756">
        <f t="shared" si="55"/>
        <v>41.666666666666664</v>
      </c>
      <c r="H227" s="788">
        <v>0</v>
      </c>
      <c r="I227" s="758">
        <f t="shared" si="51"/>
        <v>83.333333333333329</v>
      </c>
      <c r="J227" s="788">
        <v>0</v>
      </c>
      <c r="K227" s="758">
        <f t="shared" si="52"/>
        <v>125</v>
      </c>
      <c r="L227" s="788">
        <v>0</v>
      </c>
      <c r="M227" s="788"/>
      <c r="N227" s="788"/>
      <c r="O227" s="788"/>
      <c r="P227" s="788"/>
      <c r="Q227" s="788"/>
      <c r="R227" s="788"/>
      <c r="S227" s="788"/>
      <c r="T227" s="788"/>
      <c r="U227" s="788"/>
      <c r="V227" s="788"/>
      <c r="W227" s="788"/>
      <c r="X227" s="788"/>
    </row>
    <row r="228" spans="1:26" s="367" customFormat="1" x14ac:dyDescent="0.2">
      <c r="A228" s="772" t="s">
        <v>1126</v>
      </c>
      <c r="B228" s="772"/>
      <c r="C228" s="773" t="s">
        <v>1127</v>
      </c>
      <c r="D228" s="774"/>
      <c r="E228" s="792"/>
      <c r="F228" s="776"/>
      <c r="G228" s="776"/>
      <c r="H228" s="777"/>
      <c r="I228" s="777"/>
      <c r="J228" s="778"/>
      <c r="K228" s="778"/>
      <c r="L228" s="778"/>
      <c r="M228" s="778"/>
      <c r="N228" s="778"/>
      <c r="O228" s="778"/>
      <c r="P228" s="778"/>
      <c r="Q228" s="778"/>
      <c r="R228" s="777"/>
      <c r="S228" s="777"/>
      <c r="T228" s="790"/>
      <c r="U228" s="790"/>
      <c r="V228" s="777"/>
      <c r="W228" s="777"/>
      <c r="X228" s="777"/>
      <c r="Y228" s="365"/>
      <c r="Z228" s="366"/>
    </row>
    <row r="229" spans="1:26" x14ac:dyDescent="0.2">
      <c r="A229" s="786" t="s">
        <v>1128</v>
      </c>
      <c r="B229" s="786" t="s">
        <v>1128</v>
      </c>
      <c r="C229" s="818" t="s">
        <v>1129</v>
      </c>
      <c r="D229" s="782">
        <v>14000</v>
      </c>
      <c r="E229" s="764">
        <v>11870</v>
      </c>
      <c r="F229" s="783">
        <v>14000</v>
      </c>
      <c r="G229" s="756">
        <f t="shared" ref="G229:G237" si="56">F229*1/12</f>
        <v>1166.6666666666667</v>
      </c>
      <c r="H229" s="759">
        <v>800</v>
      </c>
      <c r="I229" s="758">
        <f t="shared" si="51"/>
        <v>2333.3333333333335</v>
      </c>
      <c r="J229" s="759">
        <v>1600</v>
      </c>
      <c r="K229" s="758">
        <f t="shared" si="52"/>
        <v>3500</v>
      </c>
      <c r="L229" s="759">
        <v>2560</v>
      </c>
      <c r="M229" s="759"/>
      <c r="N229" s="759"/>
      <c r="O229" s="759"/>
      <c r="P229" s="759"/>
      <c r="Q229" s="759"/>
      <c r="R229" s="759"/>
      <c r="S229" s="759"/>
      <c r="T229" s="759"/>
      <c r="U229" s="759"/>
      <c r="V229" s="759"/>
      <c r="W229" s="759"/>
      <c r="X229" s="760"/>
    </row>
    <row r="230" spans="1:26" x14ac:dyDescent="0.2">
      <c r="A230" s="786" t="s">
        <v>251</v>
      </c>
      <c r="B230" s="786" t="s">
        <v>251</v>
      </c>
      <c r="C230" s="818" t="s">
        <v>1130</v>
      </c>
      <c r="D230" s="782">
        <v>8000</v>
      </c>
      <c r="E230" s="764">
        <v>1852.7</v>
      </c>
      <c r="F230" s="783">
        <v>8000</v>
      </c>
      <c r="G230" s="756">
        <f t="shared" si="56"/>
        <v>666.66666666666663</v>
      </c>
      <c r="H230" s="759">
        <v>0</v>
      </c>
      <c r="I230" s="758">
        <f t="shared" si="51"/>
        <v>1333.3333333333333</v>
      </c>
      <c r="J230" s="759">
        <v>0</v>
      </c>
      <c r="K230" s="758">
        <f t="shared" si="52"/>
        <v>2000</v>
      </c>
      <c r="L230" s="759">
        <v>184.05</v>
      </c>
      <c r="M230" s="759"/>
      <c r="N230" s="759"/>
      <c r="O230" s="759"/>
      <c r="P230" s="759"/>
      <c r="Q230" s="759"/>
      <c r="R230" s="759"/>
      <c r="S230" s="759"/>
      <c r="T230" s="759"/>
      <c r="U230" s="759"/>
      <c r="V230" s="759"/>
      <c r="W230" s="759"/>
      <c r="X230" s="760"/>
    </row>
    <row r="231" spans="1:26" x14ac:dyDescent="0.2">
      <c r="A231" s="786" t="s">
        <v>1131</v>
      </c>
      <c r="B231" s="786" t="s">
        <v>1131</v>
      </c>
      <c r="C231" s="819" t="s">
        <v>1132</v>
      </c>
      <c r="D231" s="782">
        <v>42000</v>
      </c>
      <c r="E231" s="764">
        <v>25892.880000000001</v>
      </c>
      <c r="F231" s="783">
        <v>42000</v>
      </c>
      <c r="G231" s="756">
        <f t="shared" si="56"/>
        <v>3500</v>
      </c>
      <c r="H231" s="759">
        <v>0</v>
      </c>
      <c r="I231" s="758">
        <f t="shared" si="51"/>
        <v>7000</v>
      </c>
      <c r="J231" s="759">
        <v>1691.82</v>
      </c>
      <c r="K231" s="758">
        <f t="shared" si="52"/>
        <v>10500</v>
      </c>
      <c r="L231" s="759">
        <v>1691.82</v>
      </c>
      <c r="M231" s="759"/>
      <c r="N231" s="759"/>
      <c r="O231" s="759"/>
      <c r="P231" s="759"/>
      <c r="Q231" s="759"/>
      <c r="R231" s="759"/>
      <c r="S231" s="759"/>
      <c r="T231" s="759"/>
      <c r="U231" s="759"/>
      <c r="V231" s="759"/>
      <c r="W231" s="759"/>
      <c r="X231" s="759"/>
    </row>
    <row r="232" spans="1:26" x14ac:dyDescent="0.2">
      <c r="A232" s="786" t="s">
        <v>278</v>
      </c>
      <c r="B232" s="786" t="s">
        <v>278</v>
      </c>
      <c r="C232" s="818" t="s">
        <v>1133</v>
      </c>
      <c r="D232" s="782">
        <v>2000</v>
      </c>
      <c r="E232" s="764">
        <v>144</v>
      </c>
      <c r="F232" s="783">
        <v>2000</v>
      </c>
      <c r="G232" s="756">
        <f t="shared" si="56"/>
        <v>166.66666666666666</v>
      </c>
      <c r="H232" s="759">
        <v>0</v>
      </c>
      <c r="I232" s="758">
        <f t="shared" si="51"/>
        <v>333.33333333333331</v>
      </c>
      <c r="J232" s="759">
        <v>0</v>
      </c>
      <c r="K232" s="758">
        <f t="shared" si="52"/>
        <v>500</v>
      </c>
      <c r="L232" s="759">
        <v>432.99</v>
      </c>
      <c r="M232" s="759"/>
      <c r="N232" s="759"/>
      <c r="O232" s="759"/>
      <c r="P232" s="759"/>
      <c r="Q232" s="759"/>
      <c r="R232" s="759"/>
      <c r="S232" s="759"/>
      <c r="T232" s="759"/>
      <c r="U232" s="759"/>
      <c r="V232" s="759"/>
      <c r="W232" s="759"/>
      <c r="X232" s="760"/>
    </row>
    <row r="233" spans="1:26" x14ac:dyDescent="0.2">
      <c r="A233" s="786" t="s">
        <v>301</v>
      </c>
      <c r="B233" s="786" t="s">
        <v>251</v>
      </c>
      <c r="C233" s="818" t="s">
        <v>1134</v>
      </c>
      <c r="D233" s="782">
        <v>500</v>
      </c>
      <c r="E233" s="764">
        <v>24</v>
      </c>
      <c r="F233" s="783">
        <v>500</v>
      </c>
      <c r="G233" s="756">
        <f t="shared" si="56"/>
        <v>41.666666666666664</v>
      </c>
      <c r="H233" s="759">
        <v>0</v>
      </c>
      <c r="I233" s="758">
        <f t="shared" si="51"/>
        <v>83.333333333333329</v>
      </c>
      <c r="J233" s="759">
        <v>0</v>
      </c>
      <c r="K233" s="758">
        <f t="shared" si="52"/>
        <v>125</v>
      </c>
      <c r="L233" s="759">
        <v>0</v>
      </c>
      <c r="M233" s="759"/>
      <c r="N233" s="759"/>
      <c r="O233" s="759"/>
      <c r="P233" s="759"/>
      <c r="Q233" s="759"/>
      <c r="R233" s="759"/>
      <c r="S233" s="759"/>
      <c r="T233" s="759"/>
      <c r="U233" s="759"/>
      <c r="V233" s="759"/>
      <c r="W233" s="759"/>
      <c r="X233" s="759"/>
    </row>
    <row r="234" spans="1:26" x14ac:dyDescent="0.2">
      <c r="A234" s="786" t="s">
        <v>388</v>
      </c>
      <c r="B234" s="786" t="s">
        <v>278</v>
      </c>
      <c r="C234" s="819" t="s">
        <v>1135</v>
      </c>
      <c r="D234" s="782">
        <v>4000</v>
      </c>
      <c r="E234" s="764">
        <v>0</v>
      </c>
      <c r="F234" s="783">
        <v>4000</v>
      </c>
      <c r="G234" s="756">
        <f t="shared" si="56"/>
        <v>333.33333333333331</v>
      </c>
      <c r="H234" s="759">
        <v>0</v>
      </c>
      <c r="I234" s="758">
        <f t="shared" si="51"/>
        <v>666.66666666666663</v>
      </c>
      <c r="J234" s="759">
        <v>0</v>
      </c>
      <c r="K234" s="758">
        <f t="shared" si="52"/>
        <v>1000</v>
      </c>
      <c r="L234" s="759">
        <v>0</v>
      </c>
      <c r="M234" s="759"/>
      <c r="N234" s="759"/>
      <c r="O234" s="759"/>
      <c r="P234" s="759"/>
      <c r="Q234" s="759"/>
      <c r="R234" s="759"/>
      <c r="S234" s="759"/>
      <c r="T234" s="759"/>
      <c r="U234" s="759"/>
      <c r="V234" s="759"/>
      <c r="W234" s="759"/>
      <c r="X234" s="760"/>
    </row>
    <row r="235" spans="1:26" x14ac:dyDescent="0.2">
      <c r="A235" s="786" t="s">
        <v>376</v>
      </c>
      <c r="B235" s="786" t="s">
        <v>278</v>
      </c>
      <c r="C235" s="818" t="s">
        <v>1136</v>
      </c>
      <c r="D235" s="782">
        <v>300</v>
      </c>
      <c r="E235" s="764">
        <v>0</v>
      </c>
      <c r="F235" s="783">
        <v>300</v>
      </c>
      <c r="G235" s="756">
        <f t="shared" si="56"/>
        <v>25</v>
      </c>
      <c r="H235" s="759">
        <v>0</v>
      </c>
      <c r="I235" s="758">
        <f t="shared" si="51"/>
        <v>50</v>
      </c>
      <c r="J235" s="759">
        <v>0</v>
      </c>
      <c r="K235" s="758">
        <f t="shared" si="52"/>
        <v>75</v>
      </c>
      <c r="L235" s="759">
        <v>0</v>
      </c>
      <c r="M235" s="759"/>
      <c r="N235" s="759"/>
      <c r="O235" s="759"/>
      <c r="P235" s="759"/>
      <c r="Q235" s="759"/>
      <c r="R235" s="759"/>
      <c r="S235" s="759"/>
      <c r="T235" s="759"/>
      <c r="U235" s="759"/>
      <c r="V235" s="759"/>
      <c r="W235" s="759"/>
      <c r="X235" s="759"/>
    </row>
    <row r="236" spans="1:26" x14ac:dyDescent="0.2">
      <c r="A236" s="786" t="s">
        <v>1137</v>
      </c>
      <c r="B236" s="786" t="s">
        <v>278</v>
      </c>
      <c r="C236" s="818" t="s">
        <v>1138</v>
      </c>
      <c r="D236" s="782">
        <v>3000</v>
      </c>
      <c r="E236" s="764">
        <v>2559.1</v>
      </c>
      <c r="F236" s="783">
        <v>3000</v>
      </c>
      <c r="G236" s="756">
        <f t="shared" si="56"/>
        <v>250</v>
      </c>
      <c r="H236" s="759">
        <v>99</v>
      </c>
      <c r="I236" s="758">
        <f t="shared" si="51"/>
        <v>500</v>
      </c>
      <c r="J236" s="759">
        <v>258</v>
      </c>
      <c r="K236" s="758">
        <f t="shared" si="52"/>
        <v>750</v>
      </c>
      <c r="L236" s="759">
        <v>258</v>
      </c>
      <c r="M236" s="759"/>
      <c r="N236" s="759"/>
      <c r="O236" s="759"/>
      <c r="P236" s="759"/>
      <c r="Q236" s="759"/>
      <c r="R236" s="759"/>
      <c r="S236" s="759"/>
      <c r="T236" s="759"/>
      <c r="U236" s="759"/>
      <c r="V236" s="759"/>
      <c r="W236" s="759"/>
      <c r="X236" s="759"/>
    </row>
    <row r="237" spans="1:26" x14ac:dyDescent="0.2">
      <c r="A237" s="786" t="s">
        <v>1139</v>
      </c>
      <c r="B237" s="786" t="s">
        <v>278</v>
      </c>
      <c r="C237" s="818" t="s">
        <v>1140</v>
      </c>
      <c r="D237" s="782">
        <v>1500</v>
      </c>
      <c r="E237" s="764">
        <v>160.65</v>
      </c>
      <c r="F237" s="783">
        <v>1500</v>
      </c>
      <c r="G237" s="756">
        <f t="shared" si="56"/>
        <v>125</v>
      </c>
      <c r="H237" s="759">
        <v>0</v>
      </c>
      <c r="I237" s="758">
        <f t="shared" si="51"/>
        <v>250</v>
      </c>
      <c r="J237" s="759">
        <v>0</v>
      </c>
      <c r="K237" s="758">
        <f t="shared" si="52"/>
        <v>375</v>
      </c>
      <c r="L237" s="759">
        <v>0</v>
      </c>
      <c r="M237" s="759"/>
      <c r="N237" s="759"/>
      <c r="O237" s="759"/>
      <c r="P237" s="759"/>
      <c r="Q237" s="759"/>
      <c r="R237" s="759"/>
      <c r="S237" s="759"/>
      <c r="T237" s="759"/>
      <c r="U237" s="759"/>
      <c r="V237" s="759"/>
      <c r="W237" s="759"/>
      <c r="X237" s="759"/>
    </row>
    <row r="238" spans="1:26" s="367" customFormat="1" x14ac:dyDescent="0.2">
      <c r="A238" s="772" t="s">
        <v>1141</v>
      </c>
      <c r="B238" s="772"/>
      <c r="C238" s="773" t="s">
        <v>1142</v>
      </c>
      <c r="D238" s="774"/>
      <c r="E238" s="795"/>
      <c r="F238" s="776"/>
      <c r="G238" s="776"/>
      <c r="H238" s="778"/>
      <c r="I238" s="777"/>
      <c r="J238" s="778"/>
      <c r="K238" s="778"/>
      <c r="L238" s="778"/>
      <c r="M238" s="778"/>
      <c r="N238" s="778"/>
      <c r="O238" s="778"/>
      <c r="P238" s="778"/>
      <c r="Q238" s="778"/>
      <c r="R238" s="778"/>
      <c r="S238" s="778"/>
      <c r="T238" s="779"/>
      <c r="U238" s="779"/>
      <c r="V238" s="778"/>
      <c r="W238" s="778"/>
      <c r="X238" s="778"/>
      <c r="Y238" s="365"/>
      <c r="Z238" s="366"/>
    </row>
    <row r="239" spans="1:26" x14ac:dyDescent="0.2">
      <c r="A239" s="786" t="s">
        <v>1143</v>
      </c>
      <c r="B239" s="786" t="s">
        <v>1143</v>
      </c>
      <c r="C239" s="818" t="s">
        <v>1144</v>
      </c>
      <c r="D239" s="782">
        <v>13000</v>
      </c>
      <c r="E239" s="764">
        <v>9870</v>
      </c>
      <c r="F239" s="783">
        <v>13000</v>
      </c>
      <c r="G239" s="756">
        <f t="shared" ref="G239:G247" si="57">F239*1/12</f>
        <v>1083.3333333333333</v>
      </c>
      <c r="H239" s="759">
        <v>800</v>
      </c>
      <c r="I239" s="758">
        <f t="shared" si="51"/>
        <v>2166.6666666666665</v>
      </c>
      <c r="J239" s="759">
        <v>1600</v>
      </c>
      <c r="K239" s="758">
        <f t="shared" si="52"/>
        <v>3250</v>
      </c>
      <c r="L239" s="759">
        <v>2400</v>
      </c>
      <c r="M239" s="759"/>
      <c r="N239" s="759"/>
      <c r="O239" s="759"/>
      <c r="P239" s="759"/>
      <c r="Q239" s="759"/>
      <c r="R239" s="759"/>
      <c r="S239" s="759"/>
      <c r="T239" s="759"/>
      <c r="U239" s="759"/>
      <c r="V239" s="759"/>
      <c r="W239" s="759"/>
      <c r="X239" s="759"/>
    </row>
    <row r="240" spans="1:26" x14ac:dyDescent="0.2">
      <c r="A240" s="786" t="s">
        <v>253</v>
      </c>
      <c r="B240" s="786" t="s">
        <v>253</v>
      </c>
      <c r="C240" s="818" t="s">
        <v>1145</v>
      </c>
      <c r="D240" s="782">
        <v>4000</v>
      </c>
      <c r="E240" s="764">
        <v>172.05</v>
      </c>
      <c r="F240" s="783">
        <v>4000</v>
      </c>
      <c r="G240" s="756">
        <f t="shared" si="57"/>
        <v>333.33333333333331</v>
      </c>
      <c r="H240" s="759">
        <v>0</v>
      </c>
      <c r="I240" s="758">
        <f t="shared" si="51"/>
        <v>666.66666666666663</v>
      </c>
      <c r="J240" s="759">
        <v>0</v>
      </c>
      <c r="K240" s="758">
        <f t="shared" si="52"/>
        <v>1000</v>
      </c>
      <c r="L240" s="759">
        <v>0</v>
      </c>
      <c r="M240" s="759"/>
      <c r="N240" s="759"/>
      <c r="O240" s="759"/>
      <c r="P240" s="759"/>
      <c r="Q240" s="759"/>
      <c r="R240" s="759"/>
      <c r="S240" s="759"/>
      <c r="T240" s="759"/>
      <c r="U240" s="759"/>
      <c r="V240" s="759"/>
      <c r="W240" s="759"/>
      <c r="X240" s="760"/>
    </row>
    <row r="241" spans="1:26" x14ac:dyDescent="0.2">
      <c r="A241" s="786" t="s">
        <v>1146</v>
      </c>
      <c r="B241" s="786" t="s">
        <v>1146</v>
      </c>
      <c r="C241" s="818" t="s">
        <v>1147</v>
      </c>
      <c r="D241" s="782">
        <v>15000</v>
      </c>
      <c r="E241" s="793">
        <v>17613.75</v>
      </c>
      <c r="F241" s="783">
        <v>15000</v>
      </c>
      <c r="G241" s="756">
        <f t="shared" si="57"/>
        <v>1250</v>
      </c>
      <c r="H241" s="759">
        <v>0</v>
      </c>
      <c r="I241" s="758">
        <f t="shared" si="51"/>
        <v>2500</v>
      </c>
      <c r="J241" s="759">
        <v>880</v>
      </c>
      <c r="K241" s="758">
        <f t="shared" si="52"/>
        <v>3750</v>
      </c>
      <c r="L241" s="759">
        <v>880</v>
      </c>
      <c r="M241" s="759"/>
      <c r="N241" s="759"/>
      <c r="O241" s="759"/>
      <c r="P241" s="759"/>
      <c r="Q241" s="759"/>
      <c r="R241" s="759"/>
      <c r="S241" s="759"/>
      <c r="T241" s="759"/>
      <c r="U241" s="759"/>
      <c r="V241" s="794"/>
      <c r="W241" s="794"/>
      <c r="X241" s="759"/>
    </row>
    <row r="242" spans="1:26" x14ac:dyDescent="0.2">
      <c r="A242" s="786" t="s">
        <v>281</v>
      </c>
      <c r="B242" s="786" t="s">
        <v>281</v>
      </c>
      <c r="C242" s="818" t="s">
        <v>1148</v>
      </c>
      <c r="D242" s="782">
        <v>1000</v>
      </c>
      <c r="E242" s="764">
        <v>0</v>
      </c>
      <c r="F242" s="783">
        <v>1000</v>
      </c>
      <c r="G242" s="756">
        <f t="shared" si="57"/>
        <v>83.333333333333329</v>
      </c>
      <c r="H242" s="759">
        <v>0</v>
      </c>
      <c r="I242" s="758">
        <f t="shared" si="51"/>
        <v>166.66666666666666</v>
      </c>
      <c r="J242" s="759">
        <v>0</v>
      </c>
      <c r="K242" s="758">
        <f t="shared" si="52"/>
        <v>250</v>
      </c>
      <c r="L242" s="759">
        <v>0</v>
      </c>
      <c r="M242" s="759"/>
      <c r="N242" s="759"/>
      <c r="O242" s="759"/>
      <c r="P242" s="759"/>
      <c r="Q242" s="759"/>
      <c r="R242" s="759"/>
      <c r="S242" s="759"/>
      <c r="T242" s="759"/>
      <c r="U242" s="759"/>
      <c r="V242" s="759"/>
      <c r="W242" s="759"/>
      <c r="X242" s="759"/>
    </row>
    <row r="243" spans="1:26" x14ac:dyDescent="0.2">
      <c r="A243" s="786" t="s">
        <v>303</v>
      </c>
      <c r="B243" s="786" t="s">
        <v>253</v>
      </c>
      <c r="C243" s="818" t="s">
        <v>1149</v>
      </c>
      <c r="D243" s="782">
        <v>250</v>
      </c>
      <c r="E243" s="764">
        <v>0</v>
      </c>
      <c r="F243" s="783">
        <v>250</v>
      </c>
      <c r="G243" s="756">
        <f t="shared" si="57"/>
        <v>20.833333333333332</v>
      </c>
      <c r="H243" s="759">
        <v>0</v>
      </c>
      <c r="I243" s="758">
        <f t="shared" si="51"/>
        <v>41.666666666666664</v>
      </c>
      <c r="J243" s="759">
        <v>0</v>
      </c>
      <c r="K243" s="758">
        <f t="shared" si="52"/>
        <v>62.5</v>
      </c>
      <c r="L243" s="759">
        <v>0</v>
      </c>
      <c r="M243" s="759"/>
      <c r="N243" s="759"/>
      <c r="O243" s="759"/>
      <c r="P243" s="759"/>
      <c r="Q243" s="759"/>
      <c r="R243" s="759"/>
      <c r="S243" s="759"/>
      <c r="T243" s="759"/>
      <c r="U243" s="759"/>
      <c r="V243" s="759"/>
      <c r="W243" s="759"/>
      <c r="X243" s="759"/>
    </row>
    <row r="244" spans="1:26" x14ac:dyDescent="0.2">
      <c r="A244" s="786" t="s">
        <v>389</v>
      </c>
      <c r="B244" s="786" t="s">
        <v>281</v>
      </c>
      <c r="C244" s="819" t="s">
        <v>1150</v>
      </c>
      <c r="D244" s="782">
        <v>1500</v>
      </c>
      <c r="E244" s="764">
        <v>0</v>
      </c>
      <c r="F244" s="783">
        <v>1500</v>
      </c>
      <c r="G244" s="756">
        <f t="shared" si="57"/>
        <v>125</v>
      </c>
      <c r="H244" s="759">
        <v>0</v>
      </c>
      <c r="I244" s="758">
        <f t="shared" si="51"/>
        <v>250</v>
      </c>
      <c r="J244" s="759">
        <v>0</v>
      </c>
      <c r="K244" s="758">
        <f t="shared" si="52"/>
        <v>375</v>
      </c>
      <c r="L244" s="759">
        <v>0</v>
      </c>
      <c r="M244" s="759"/>
      <c r="N244" s="759"/>
      <c r="O244" s="759"/>
      <c r="P244" s="759"/>
      <c r="Q244" s="759"/>
      <c r="R244" s="759"/>
      <c r="S244" s="759"/>
      <c r="T244" s="759"/>
      <c r="U244" s="759"/>
      <c r="V244" s="759"/>
      <c r="W244" s="759"/>
      <c r="X244" s="759"/>
    </row>
    <row r="245" spans="1:26" x14ac:dyDescent="0.2">
      <c r="A245" s="786" t="s">
        <v>378</v>
      </c>
      <c r="B245" s="786" t="s">
        <v>281</v>
      </c>
      <c r="C245" s="818" t="s">
        <v>1151</v>
      </c>
      <c r="D245" s="782">
        <v>200</v>
      </c>
      <c r="E245" s="764">
        <v>0</v>
      </c>
      <c r="F245" s="783">
        <v>200</v>
      </c>
      <c r="G245" s="756">
        <f t="shared" si="57"/>
        <v>16.666666666666668</v>
      </c>
      <c r="H245" s="759">
        <v>0</v>
      </c>
      <c r="I245" s="758">
        <f t="shared" si="51"/>
        <v>33.333333333333336</v>
      </c>
      <c r="J245" s="759">
        <v>0</v>
      </c>
      <c r="K245" s="758">
        <f t="shared" si="52"/>
        <v>50</v>
      </c>
      <c r="L245" s="759">
        <v>0</v>
      </c>
      <c r="M245" s="759"/>
      <c r="N245" s="759"/>
      <c r="O245" s="759"/>
      <c r="P245" s="759"/>
      <c r="Q245" s="759"/>
      <c r="R245" s="759"/>
      <c r="S245" s="759"/>
      <c r="T245" s="759"/>
      <c r="U245" s="759"/>
      <c r="V245" s="759"/>
      <c r="W245" s="759"/>
      <c r="X245" s="760"/>
    </row>
    <row r="246" spans="1:26" x14ac:dyDescent="0.2">
      <c r="A246" s="786" t="s">
        <v>1152</v>
      </c>
      <c r="B246" s="786" t="s">
        <v>281</v>
      </c>
      <c r="C246" s="818" t="s">
        <v>1153</v>
      </c>
      <c r="D246" s="782">
        <v>1500</v>
      </c>
      <c r="E246" s="764">
        <v>149.83000000000001</v>
      </c>
      <c r="F246" s="783">
        <v>1500</v>
      </c>
      <c r="G246" s="756">
        <f t="shared" si="57"/>
        <v>125</v>
      </c>
      <c r="H246" s="759">
        <v>0</v>
      </c>
      <c r="I246" s="758">
        <f t="shared" si="51"/>
        <v>250</v>
      </c>
      <c r="J246" s="759">
        <v>0</v>
      </c>
      <c r="K246" s="758">
        <f t="shared" si="52"/>
        <v>375</v>
      </c>
      <c r="L246" s="759">
        <v>0</v>
      </c>
      <c r="M246" s="759"/>
      <c r="N246" s="759"/>
      <c r="O246" s="759"/>
      <c r="P246" s="759"/>
      <c r="Q246" s="759"/>
      <c r="R246" s="759"/>
      <c r="S246" s="759"/>
      <c r="T246" s="759"/>
      <c r="U246" s="759"/>
      <c r="V246" s="759"/>
      <c r="W246" s="759"/>
      <c r="X246" s="759"/>
    </row>
    <row r="247" spans="1:26" x14ac:dyDescent="0.2">
      <c r="A247" s="786" t="s">
        <v>1154</v>
      </c>
      <c r="B247" s="786" t="s">
        <v>281</v>
      </c>
      <c r="C247" s="818" t="s">
        <v>1155</v>
      </c>
      <c r="D247" s="782">
        <v>250</v>
      </c>
      <c r="E247" s="764">
        <v>0</v>
      </c>
      <c r="F247" s="783">
        <v>250</v>
      </c>
      <c r="G247" s="756">
        <f t="shared" si="57"/>
        <v>20.833333333333332</v>
      </c>
      <c r="H247" s="759">
        <v>0</v>
      </c>
      <c r="I247" s="758">
        <f t="shared" si="51"/>
        <v>41.666666666666664</v>
      </c>
      <c r="J247" s="759">
        <v>0</v>
      </c>
      <c r="K247" s="758">
        <f t="shared" si="52"/>
        <v>62.5</v>
      </c>
      <c r="L247" s="759">
        <v>0</v>
      </c>
      <c r="M247" s="759"/>
      <c r="N247" s="759"/>
      <c r="O247" s="759"/>
      <c r="P247" s="759"/>
      <c r="Q247" s="759"/>
      <c r="R247" s="759"/>
      <c r="S247" s="759"/>
      <c r="T247" s="759"/>
      <c r="U247" s="759"/>
      <c r="V247" s="759"/>
      <c r="W247" s="759"/>
      <c r="X247" s="759"/>
    </row>
    <row r="248" spans="1:26" s="367" customFormat="1" x14ac:dyDescent="0.2">
      <c r="A248" s="801" t="s">
        <v>1156</v>
      </c>
      <c r="B248" s="801"/>
      <c r="C248" s="802" t="s">
        <v>1157</v>
      </c>
      <c r="D248" s="774"/>
      <c r="E248" s="792"/>
      <c r="F248" s="776"/>
      <c r="G248" s="776"/>
      <c r="H248" s="776"/>
      <c r="I248" s="777"/>
      <c r="J248" s="777"/>
      <c r="K248" s="778"/>
      <c r="L248" s="777"/>
      <c r="M248" s="777"/>
      <c r="N248" s="777"/>
      <c r="O248" s="777"/>
      <c r="P248" s="777"/>
      <c r="Q248" s="777"/>
      <c r="R248" s="777"/>
      <c r="S248" s="777"/>
      <c r="T248" s="790"/>
      <c r="U248" s="790"/>
      <c r="V248" s="777"/>
      <c r="W248" s="777"/>
      <c r="X248" s="777"/>
      <c r="Y248" s="365"/>
      <c r="Z248" s="366"/>
    </row>
    <row r="249" spans="1:26" x14ac:dyDescent="0.2">
      <c r="A249" s="805" t="s">
        <v>474</v>
      </c>
      <c r="B249" s="805" t="s">
        <v>480</v>
      </c>
      <c r="C249" s="806" t="s">
        <v>475</v>
      </c>
      <c r="D249" s="782">
        <v>60000</v>
      </c>
      <c r="E249" s="791">
        <v>44554.29</v>
      </c>
      <c r="F249" s="783">
        <v>60000</v>
      </c>
      <c r="G249" s="756">
        <f t="shared" ref="G249:G253" si="58">F249*1/12</f>
        <v>5000</v>
      </c>
      <c r="H249" s="788">
        <v>3143.25</v>
      </c>
      <c r="I249" s="758">
        <f t="shared" si="51"/>
        <v>10000</v>
      </c>
      <c r="J249" s="788">
        <v>5783.25</v>
      </c>
      <c r="K249" s="758">
        <f t="shared" si="52"/>
        <v>15000</v>
      </c>
      <c r="L249" s="788">
        <v>5783.25</v>
      </c>
      <c r="M249" s="788"/>
      <c r="N249" s="788"/>
      <c r="O249" s="788"/>
      <c r="P249" s="788"/>
      <c r="Q249" s="788"/>
      <c r="R249" s="788"/>
      <c r="S249" s="788"/>
      <c r="T249" s="788"/>
      <c r="U249" s="788"/>
      <c r="V249" s="788"/>
      <c r="W249" s="788"/>
      <c r="X249" s="788"/>
    </row>
    <row r="250" spans="1:26" x14ac:dyDescent="0.2">
      <c r="A250" s="805" t="s">
        <v>477</v>
      </c>
      <c r="B250" s="805" t="s">
        <v>480</v>
      </c>
      <c r="C250" s="806" t="s">
        <v>1158</v>
      </c>
      <c r="D250" s="782">
        <v>50000</v>
      </c>
      <c r="E250" s="791">
        <v>45570</v>
      </c>
      <c r="F250" s="783">
        <v>50000</v>
      </c>
      <c r="G250" s="756">
        <f t="shared" si="58"/>
        <v>4166.666666666667</v>
      </c>
      <c r="H250" s="788">
        <v>2700</v>
      </c>
      <c r="I250" s="758">
        <f t="shared" si="51"/>
        <v>8333.3333333333339</v>
      </c>
      <c r="J250" s="788">
        <v>3770</v>
      </c>
      <c r="K250" s="758">
        <f t="shared" si="52"/>
        <v>12500</v>
      </c>
      <c r="L250" s="788">
        <v>4470</v>
      </c>
      <c r="M250" s="788"/>
      <c r="N250" s="788"/>
      <c r="O250" s="788"/>
      <c r="P250" s="788"/>
      <c r="Q250" s="788"/>
      <c r="R250" s="788"/>
      <c r="S250" s="788"/>
      <c r="T250" s="788"/>
      <c r="U250" s="788"/>
      <c r="V250" s="788"/>
      <c r="W250" s="788"/>
      <c r="X250" s="788"/>
    </row>
    <row r="251" spans="1:26" x14ac:dyDescent="0.2">
      <c r="A251" s="805" t="s">
        <v>480</v>
      </c>
      <c r="B251" s="805" t="s">
        <v>489</v>
      </c>
      <c r="C251" s="806" t="s">
        <v>1159</v>
      </c>
      <c r="D251" s="782">
        <v>8000</v>
      </c>
      <c r="E251" s="791">
        <v>265.37</v>
      </c>
      <c r="F251" s="783">
        <v>8000</v>
      </c>
      <c r="G251" s="756">
        <f t="shared" si="58"/>
        <v>666.66666666666663</v>
      </c>
      <c r="H251" s="788">
        <v>431.48</v>
      </c>
      <c r="I251" s="758">
        <f t="shared" si="51"/>
        <v>1333.3333333333333</v>
      </c>
      <c r="J251" s="788">
        <v>431.48</v>
      </c>
      <c r="K251" s="758">
        <f t="shared" si="52"/>
        <v>2000</v>
      </c>
      <c r="L251" s="788">
        <v>517.72</v>
      </c>
      <c r="M251" s="788"/>
      <c r="N251" s="788"/>
      <c r="O251" s="788"/>
      <c r="P251" s="788"/>
      <c r="Q251" s="788"/>
      <c r="R251" s="788"/>
      <c r="S251" s="788"/>
      <c r="T251" s="788"/>
      <c r="U251" s="788"/>
      <c r="V251" s="788"/>
      <c r="W251" s="788"/>
      <c r="X251" s="788"/>
    </row>
    <row r="252" spans="1:26" x14ac:dyDescent="0.2">
      <c r="A252" s="805" t="s">
        <v>489</v>
      </c>
      <c r="B252" s="805" t="s">
        <v>489</v>
      </c>
      <c r="C252" s="806" t="s">
        <v>1160</v>
      </c>
      <c r="D252" s="782">
        <v>500</v>
      </c>
      <c r="E252" s="764">
        <v>0</v>
      </c>
      <c r="F252" s="783">
        <v>500</v>
      </c>
      <c r="G252" s="756">
        <f t="shared" si="58"/>
        <v>41.666666666666664</v>
      </c>
      <c r="H252" s="788">
        <v>0</v>
      </c>
      <c r="I252" s="758">
        <f t="shared" si="51"/>
        <v>83.333333333333329</v>
      </c>
      <c r="J252" s="759">
        <v>0</v>
      </c>
      <c r="K252" s="758">
        <f t="shared" si="52"/>
        <v>125</v>
      </c>
      <c r="L252" s="759">
        <v>0</v>
      </c>
      <c r="M252" s="759"/>
      <c r="N252" s="759"/>
      <c r="O252" s="759"/>
      <c r="P252" s="759"/>
      <c r="Q252" s="759"/>
      <c r="R252" s="759"/>
      <c r="S252" s="759"/>
      <c r="T252" s="759"/>
      <c r="U252" s="759"/>
      <c r="V252" s="759"/>
      <c r="W252" s="759"/>
      <c r="X252" s="759"/>
      <c r="Y252" s="485"/>
    </row>
    <row r="253" spans="1:26" s="480" customFormat="1" x14ac:dyDescent="0.2">
      <c r="A253" s="801" t="s">
        <v>498</v>
      </c>
      <c r="B253" s="801" t="s">
        <v>1288</v>
      </c>
      <c r="C253" s="802" t="s">
        <v>1015</v>
      </c>
      <c r="D253" s="774">
        <v>100000</v>
      </c>
      <c r="E253" s="775">
        <v>100000</v>
      </c>
      <c r="F253" s="776">
        <v>100000</v>
      </c>
      <c r="G253" s="803">
        <f t="shared" si="58"/>
        <v>8333.3333333333339</v>
      </c>
      <c r="H253" s="779">
        <v>8200</v>
      </c>
      <c r="I253" s="777">
        <f t="shared" si="51"/>
        <v>16666.666666666668</v>
      </c>
      <c r="J253" s="779">
        <v>16400</v>
      </c>
      <c r="K253" s="778">
        <f>F253*3/12</f>
        <v>25000</v>
      </c>
      <c r="L253" s="779">
        <v>16400</v>
      </c>
      <c r="M253" s="779"/>
      <c r="N253" s="779"/>
      <c r="O253" s="779"/>
      <c r="P253" s="779"/>
      <c r="Q253" s="779"/>
      <c r="R253" s="779"/>
      <c r="S253" s="779"/>
      <c r="T253" s="779"/>
      <c r="U253" s="779"/>
      <c r="V253" s="779"/>
      <c r="W253" s="779"/>
      <c r="X253" s="779"/>
      <c r="Y253" s="479"/>
      <c r="Z253" s="366"/>
    </row>
    <row r="254" spans="1:26" x14ac:dyDescent="0.2">
      <c r="A254" s="810"/>
      <c r="B254" s="811"/>
      <c r="C254" s="812" t="s">
        <v>1161</v>
      </c>
      <c r="D254" s="813">
        <f t="shared" ref="D254:X254" si="59">SUM(D181:D253)</f>
        <v>491389.02</v>
      </c>
      <c r="E254" s="814">
        <f t="shared" si="59"/>
        <v>386290.48</v>
      </c>
      <c r="F254" s="815">
        <f t="shared" si="59"/>
        <v>491389.02</v>
      </c>
      <c r="G254" s="815">
        <f t="shared" si="59"/>
        <v>40949.084999999999</v>
      </c>
      <c r="H254" s="816">
        <f t="shared" si="59"/>
        <v>20456.23</v>
      </c>
      <c r="I254" s="816">
        <f t="shared" si="59"/>
        <v>81898.17</v>
      </c>
      <c r="J254" s="816">
        <f t="shared" si="59"/>
        <v>42645.67</v>
      </c>
      <c r="K254" s="816">
        <f t="shared" si="59"/>
        <v>122847.255</v>
      </c>
      <c r="L254" s="816">
        <f t="shared" si="59"/>
        <v>51379.64</v>
      </c>
      <c r="M254" s="816">
        <f t="shared" si="59"/>
        <v>0</v>
      </c>
      <c r="N254" s="816">
        <f t="shared" si="59"/>
        <v>0</v>
      </c>
      <c r="O254" s="816">
        <f t="shared" si="59"/>
        <v>0</v>
      </c>
      <c r="P254" s="816">
        <f t="shared" si="59"/>
        <v>0</v>
      </c>
      <c r="Q254" s="816">
        <f t="shared" si="59"/>
        <v>0</v>
      </c>
      <c r="R254" s="816">
        <f t="shared" si="59"/>
        <v>0</v>
      </c>
      <c r="S254" s="816">
        <f t="shared" si="59"/>
        <v>0</v>
      </c>
      <c r="T254" s="816">
        <f t="shared" si="59"/>
        <v>0</v>
      </c>
      <c r="U254" s="816">
        <f t="shared" si="59"/>
        <v>0</v>
      </c>
      <c r="V254" s="816">
        <f t="shared" si="59"/>
        <v>0</v>
      </c>
      <c r="W254" s="816">
        <f t="shared" si="59"/>
        <v>0</v>
      </c>
      <c r="X254" s="816">
        <f t="shared" si="59"/>
        <v>0</v>
      </c>
    </row>
    <row r="255" spans="1:26" x14ac:dyDescent="0.2">
      <c r="A255" s="786" t="s">
        <v>504</v>
      </c>
      <c r="B255" s="786" t="s">
        <v>504</v>
      </c>
      <c r="C255" s="787" t="s">
        <v>1162</v>
      </c>
      <c r="D255" s="782">
        <v>10000</v>
      </c>
      <c r="E255" s="791">
        <v>950</v>
      </c>
      <c r="F255" s="783">
        <v>10000</v>
      </c>
      <c r="G255" s="756">
        <f t="shared" ref="G255:G256" si="60">F255*1/12</f>
        <v>833.33333333333337</v>
      </c>
      <c r="H255" s="788">
        <v>500</v>
      </c>
      <c r="I255" s="758">
        <f>F255*2/12</f>
        <v>1666.6666666666667</v>
      </c>
      <c r="J255" s="788">
        <v>500</v>
      </c>
      <c r="K255" s="758">
        <f>F255*3/12</f>
        <v>2500</v>
      </c>
      <c r="L255" s="788">
        <v>500</v>
      </c>
      <c r="M255" s="788"/>
      <c r="N255" s="788"/>
      <c r="O255" s="788"/>
      <c r="P255" s="788"/>
      <c r="Q255" s="788"/>
      <c r="R255" s="788"/>
      <c r="S255" s="788"/>
      <c r="T255" s="788"/>
      <c r="U255" s="788"/>
      <c r="V255" s="788"/>
      <c r="W255" s="788"/>
      <c r="X255" s="788"/>
    </row>
    <row r="256" spans="1:26" x14ac:dyDescent="0.2">
      <c r="A256" s="786" t="s">
        <v>509</v>
      </c>
      <c r="B256" s="786" t="s">
        <v>509</v>
      </c>
      <c r="C256" s="787" t="s">
        <v>1163</v>
      </c>
      <c r="D256" s="782">
        <v>1500</v>
      </c>
      <c r="E256" s="791">
        <v>0</v>
      </c>
      <c r="F256" s="783">
        <v>1500</v>
      </c>
      <c r="G256" s="756">
        <f t="shared" si="60"/>
        <v>125</v>
      </c>
      <c r="H256" s="788">
        <v>0</v>
      </c>
      <c r="I256" s="758">
        <f>F256*2/12</f>
        <v>250</v>
      </c>
      <c r="J256" s="788">
        <v>0</v>
      </c>
      <c r="K256" s="758">
        <f>F256*3/12</f>
        <v>375</v>
      </c>
      <c r="L256" s="788">
        <v>0</v>
      </c>
      <c r="M256" s="788"/>
      <c r="N256" s="788"/>
      <c r="O256" s="788"/>
      <c r="P256" s="788"/>
      <c r="Q256" s="788"/>
      <c r="R256" s="788"/>
      <c r="S256" s="788"/>
      <c r="T256" s="788"/>
      <c r="U256" s="788"/>
      <c r="V256" s="788"/>
      <c r="W256" s="788"/>
      <c r="X256" s="788"/>
    </row>
    <row r="257" spans="1:26" x14ac:dyDescent="0.2">
      <c r="A257" s="810"/>
      <c r="B257" s="811"/>
      <c r="C257" s="812" t="s">
        <v>1164</v>
      </c>
      <c r="D257" s="813">
        <f t="shared" ref="D257:X257" si="61">SUM(D255:D256)</f>
        <v>11500</v>
      </c>
      <c r="E257" s="814">
        <f t="shared" si="61"/>
        <v>950</v>
      </c>
      <c r="F257" s="815">
        <f t="shared" si="61"/>
        <v>11500</v>
      </c>
      <c r="G257" s="815">
        <f t="shared" si="61"/>
        <v>958.33333333333337</v>
      </c>
      <c r="H257" s="816">
        <f t="shared" si="61"/>
        <v>500</v>
      </c>
      <c r="I257" s="816">
        <f t="shared" si="61"/>
        <v>1916.6666666666667</v>
      </c>
      <c r="J257" s="816">
        <f t="shared" si="61"/>
        <v>500</v>
      </c>
      <c r="K257" s="816">
        <f t="shared" si="61"/>
        <v>2875</v>
      </c>
      <c r="L257" s="816">
        <f t="shared" si="61"/>
        <v>500</v>
      </c>
      <c r="M257" s="816">
        <f t="shared" si="61"/>
        <v>0</v>
      </c>
      <c r="N257" s="816">
        <f t="shared" si="61"/>
        <v>0</v>
      </c>
      <c r="O257" s="816">
        <f t="shared" si="61"/>
        <v>0</v>
      </c>
      <c r="P257" s="816">
        <f t="shared" si="61"/>
        <v>0</v>
      </c>
      <c r="Q257" s="816">
        <f t="shared" si="61"/>
        <v>0</v>
      </c>
      <c r="R257" s="816">
        <f t="shared" si="61"/>
        <v>0</v>
      </c>
      <c r="S257" s="816">
        <f t="shared" si="61"/>
        <v>0</v>
      </c>
      <c r="T257" s="816">
        <f t="shared" si="61"/>
        <v>0</v>
      </c>
      <c r="U257" s="816">
        <f t="shared" si="61"/>
        <v>0</v>
      </c>
      <c r="V257" s="816">
        <f t="shared" si="61"/>
        <v>0</v>
      </c>
      <c r="W257" s="816">
        <f t="shared" si="61"/>
        <v>0</v>
      </c>
      <c r="X257" s="816">
        <f t="shared" si="61"/>
        <v>0</v>
      </c>
    </row>
    <row r="258" spans="1:26" x14ac:dyDescent="0.2">
      <c r="A258" s="786" t="s">
        <v>516</v>
      </c>
      <c r="B258" s="786" t="s">
        <v>516</v>
      </c>
      <c r="C258" s="787" t="s">
        <v>1165</v>
      </c>
      <c r="D258" s="782">
        <v>0</v>
      </c>
      <c r="E258" s="791">
        <v>0</v>
      </c>
      <c r="F258" s="783">
        <v>0</v>
      </c>
      <c r="G258" s="756">
        <f t="shared" ref="G258:G260" si="62">F258*1/12</f>
        <v>0</v>
      </c>
      <c r="H258" s="788">
        <v>0</v>
      </c>
      <c r="I258" s="758">
        <f>F258*2/12</f>
        <v>0</v>
      </c>
      <c r="J258" s="788">
        <v>0</v>
      </c>
      <c r="K258" s="758">
        <f>F258*3/12</f>
        <v>0</v>
      </c>
      <c r="L258" s="788">
        <v>0</v>
      </c>
      <c r="M258" s="788"/>
      <c r="N258" s="788"/>
      <c r="O258" s="788"/>
      <c r="P258" s="788"/>
      <c r="Q258" s="788"/>
      <c r="R258" s="788"/>
      <c r="S258" s="788"/>
      <c r="T258" s="788"/>
      <c r="U258" s="788"/>
      <c r="V258" s="788"/>
      <c r="W258" s="788"/>
      <c r="X258" s="788"/>
    </row>
    <row r="259" spans="1:26" x14ac:dyDescent="0.2">
      <c r="A259" s="786" t="s">
        <v>518</v>
      </c>
      <c r="B259" s="786" t="s">
        <v>518</v>
      </c>
      <c r="C259" s="787" t="s">
        <v>1166</v>
      </c>
      <c r="D259" s="782">
        <v>60000</v>
      </c>
      <c r="E259" s="791">
        <v>60000</v>
      </c>
      <c r="F259" s="783">
        <v>60000</v>
      </c>
      <c r="G259" s="756">
        <v>0</v>
      </c>
      <c r="H259" s="788">
        <v>0</v>
      </c>
      <c r="I259" s="758">
        <v>0</v>
      </c>
      <c r="J259" s="788">
        <v>0</v>
      </c>
      <c r="K259" s="758">
        <v>0</v>
      </c>
      <c r="L259" s="788">
        <v>0</v>
      </c>
      <c r="M259" s="788"/>
      <c r="N259" s="788"/>
      <c r="O259" s="788"/>
      <c r="P259" s="788"/>
      <c r="Q259" s="788"/>
      <c r="R259" s="788"/>
      <c r="S259" s="788"/>
      <c r="T259" s="788"/>
      <c r="U259" s="788"/>
      <c r="V259" s="788"/>
      <c r="W259" s="788"/>
      <c r="X259" s="788"/>
    </row>
    <row r="260" spans="1:26" x14ac:dyDescent="0.2">
      <c r="A260" s="807" t="s">
        <v>520</v>
      </c>
      <c r="B260" s="786" t="s">
        <v>1290</v>
      </c>
      <c r="C260" s="820" t="s">
        <v>1167</v>
      </c>
      <c r="D260" s="782">
        <v>0</v>
      </c>
      <c r="E260" s="808">
        <v>0</v>
      </c>
      <c r="F260" s="783">
        <v>0</v>
      </c>
      <c r="G260" s="756">
        <f t="shared" si="62"/>
        <v>0</v>
      </c>
      <c r="H260" s="809">
        <v>0</v>
      </c>
      <c r="I260" s="758">
        <f t="shared" ref="I260" si="63">SUM(G260-H260+F260/12)</f>
        <v>0</v>
      </c>
      <c r="J260" s="809">
        <v>0</v>
      </c>
      <c r="K260" s="758">
        <f t="shared" ref="K260" si="64">F260*3/12</f>
        <v>0</v>
      </c>
      <c r="L260" s="809">
        <v>0</v>
      </c>
      <c r="M260" s="809"/>
      <c r="N260" s="809"/>
      <c r="O260" s="809"/>
      <c r="P260" s="809"/>
      <c r="Q260" s="809"/>
      <c r="R260" s="809"/>
      <c r="S260" s="809"/>
      <c r="T260" s="809"/>
      <c r="U260" s="809"/>
      <c r="V260" s="809"/>
      <c r="W260" s="809"/>
      <c r="X260" s="809"/>
    </row>
    <row r="261" spans="1:26" x14ac:dyDescent="0.2">
      <c r="A261" s="810"/>
      <c r="B261" s="811"/>
      <c r="C261" s="812" t="s">
        <v>1168</v>
      </c>
      <c r="D261" s="813">
        <f t="shared" ref="D261" si="65">SUM(D258:D260)</f>
        <v>60000</v>
      </c>
      <c r="E261" s="821">
        <f t="shared" ref="E261" si="66">SUM(E258:E259)</f>
        <v>60000</v>
      </c>
      <c r="F261" s="815">
        <f t="shared" ref="F261:P261" si="67">SUM(F258:F260)</f>
        <v>60000</v>
      </c>
      <c r="G261" s="815">
        <f t="shared" si="67"/>
        <v>0</v>
      </c>
      <c r="H261" s="816">
        <f t="shared" si="67"/>
        <v>0</v>
      </c>
      <c r="I261" s="815">
        <f t="shared" si="67"/>
        <v>0</v>
      </c>
      <c r="J261" s="822">
        <f t="shared" si="67"/>
        <v>0</v>
      </c>
      <c r="K261" s="816">
        <f t="shared" si="67"/>
        <v>0</v>
      </c>
      <c r="L261" s="822">
        <f t="shared" si="67"/>
        <v>0</v>
      </c>
      <c r="M261" s="822">
        <f t="shared" si="67"/>
        <v>0</v>
      </c>
      <c r="N261" s="822">
        <f t="shared" si="67"/>
        <v>0</v>
      </c>
      <c r="O261" s="822">
        <f t="shared" si="67"/>
        <v>0</v>
      </c>
      <c r="P261" s="822">
        <f t="shared" si="67"/>
        <v>0</v>
      </c>
      <c r="Q261" s="822">
        <f t="shared" ref="Q261:S261" si="68">SUM(Q258:Q259)</f>
        <v>0</v>
      </c>
      <c r="R261" s="822">
        <f t="shared" si="68"/>
        <v>0</v>
      </c>
      <c r="S261" s="822">
        <f t="shared" si="68"/>
        <v>0</v>
      </c>
      <c r="T261" s="822">
        <f>SUM(T258:T260)</f>
        <v>0</v>
      </c>
      <c r="U261" s="822">
        <f>SUM(U258:U260)</f>
        <v>0</v>
      </c>
      <c r="V261" s="822">
        <f>SUM(V258:V260)</f>
        <v>0</v>
      </c>
      <c r="W261" s="822">
        <f t="shared" ref="W261:X261" si="69">SUM(W258:W259)</f>
        <v>0</v>
      </c>
      <c r="X261" s="822">
        <f t="shared" si="69"/>
        <v>0</v>
      </c>
    </row>
    <row r="262" spans="1:26" x14ac:dyDescent="0.2">
      <c r="A262" s="823"/>
      <c r="B262" s="823"/>
      <c r="C262" s="824"/>
      <c r="D262" s="825"/>
      <c r="E262" s="826"/>
      <c r="F262" s="827"/>
      <c r="G262" s="827"/>
      <c r="H262" s="828"/>
      <c r="I262" s="829"/>
      <c r="J262" s="828"/>
      <c r="K262" s="828"/>
      <c r="L262" s="828"/>
      <c r="M262" s="828"/>
      <c r="N262" s="828"/>
      <c r="O262" s="828"/>
      <c r="P262" s="828"/>
      <c r="Q262" s="828"/>
      <c r="R262" s="828"/>
      <c r="S262" s="828"/>
      <c r="T262" s="828"/>
      <c r="U262" s="828"/>
      <c r="V262" s="828"/>
      <c r="W262" s="828"/>
      <c r="X262" s="828"/>
    </row>
    <row r="263" spans="1:26" x14ac:dyDescent="0.2">
      <c r="A263" s="810"/>
      <c r="B263" s="811"/>
      <c r="C263" s="812" t="s">
        <v>1169</v>
      </c>
      <c r="D263" s="830">
        <f t="shared" ref="D263:X263" si="70">D55+D180+D254+D257+D261</f>
        <v>1479844.02</v>
      </c>
      <c r="E263" s="831">
        <f t="shared" si="70"/>
        <v>1215421.75</v>
      </c>
      <c r="F263" s="815">
        <f t="shared" si="70"/>
        <v>1479844.02</v>
      </c>
      <c r="G263" s="815">
        <f t="shared" si="70"/>
        <v>118320.33499999998</v>
      </c>
      <c r="H263" s="816">
        <f t="shared" si="70"/>
        <v>51319.03</v>
      </c>
      <c r="I263" s="816">
        <f t="shared" si="70"/>
        <v>236640.66999999995</v>
      </c>
      <c r="J263" s="816">
        <f t="shared" si="70"/>
        <v>115481.03</v>
      </c>
      <c r="K263" s="816">
        <f t="shared" si="70"/>
        <v>354586.005</v>
      </c>
      <c r="L263" s="816">
        <f t="shared" si="70"/>
        <v>147043.78</v>
      </c>
      <c r="M263" s="816">
        <f t="shared" si="70"/>
        <v>0</v>
      </c>
      <c r="N263" s="816">
        <f t="shared" si="70"/>
        <v>0</v>
      </c>
      <c r="O263" s="816">
        <f t="shared" si="70"/>
        <v>0</v>
      </c>
      <c r="P263" s="816">
        <f t="shared" si="70"/>
        <v>0</v>
      </c>
      <c r="Q263" s="832">
        <f t="shared" si="70"/>
        <v>0</v>
      </c>
      <c r="R263" s="833">
        <f t="shared" si="70"/>
        <v>0</v>
      </c>
      <c r="S263" s="833">
        <f t="shared" si="70"/>
        <v>0</v>
      </c>
      <c r="T263" s="833">
        <f t="shared" si="70"/>
        <v>0</v>
      </c>
      <c r="U263" s="833">
        <f t="shared" si="70"/>
        <v>0</v>
      </c>
      <c r="V263" s="833">
        <f t="shared" si="70"/>
        <v>0</v>
      </c>
      <c r="W263" s="833">
        <f t="shared" si="70"/>
        <v>0</v>
      </c>
      <c r="X263" s="833">
        <f t="shared" si="70"/>
        <v>0</v>
      </c>
    </row>
    <row r="264" spans="1:26" x14ac:dyDescent="0.2">
      <c r="A264" s="834"/>
      <c r="B264" s="835"/>
      <c r="C264" s="836" t="s">
        <v>813</v>
      </c>
      <c r="D264" s="837">
        <f t="shared" ref="D264:X264" si="71">D30</f>
        <v>1480000</v>
      </c>
      <c r="E264" s="838">
        <f t="shared" si="71"/>
        <v>1500919.53</v>
      </c>
      <c r="F264" s="839">
        <f t="shared" si="71"/>
        <v>1480000</v>
      </c>
      <c r="G264" s="839">
        <f t="shared" si="71"/>
        <v>107083.33333333333</v>
      </c>
      <c r="H264" s="840">
        <f t="shared" si="71"/>
        <v>542448.23</v>
      </c>
      <c r="I264" s="840">
        <f t="shared" si="71"/>
        <v>214166.66666666666</v>
      </c>
      <c r="J264" s="841">
        <f t="shared" si="71"/>
        <v>744264.9</v>
      </c>
      <c r="K264" s="841">
        <f t="shared" si="71"/>
        <v>370000</v>
      </c>
      <c r="L264" s="841">
        <f t="shared" si="71"/>
        <v>777607.6100000001</v>
      </c>
      <c r="M264" s="840">
        <f t="shared" si="71"/>
        <v>0</v>
      </c>
      <c r="N264" s="840">
        <f t="shared" si="71"/>
        <v>0</v>
      </c>
      <c r="O264" s="841">
        <f t="shared" si="71"/>
        <v>0</v>
      </c>
      <c r="P264" s="841">
        <f t="shared" si="71"/>
        <v>0</v>
      </c>
      <c r="Q264" s="841">
        <f t="shared" si="71"/>
        <v>0</v>
      </c>
      <c r="R264" s="842">
        <f t="shared" si="71"/>
        <v>0</v>
      </c>
      <c r="S264" s="842">
        <f t="shared" si="71"/>
        <v>0</v>
      </c>
      <c r="T264" s="842">
        <f t="shared" si="71"/>
        <v>0</v>
      </c>
      <c r="U264" s="842">
        <f t="shared" si="71"/>
        <v>0</v>
      </c>
      <c r="V264" s="842">
        <f t="shared" si="71"/>
        <v>0</v>
      </c>
      <c r="W264" s="842">
        <f t="shared" si="71"/>
        <v>0</v>
      </c>
      <c r="X264" s="842">
        <f t="shared" si="71"/>
        <v>0</v>
      </c>
    </row>
    <row r="265" spans="1:26" x14ac:dyDescent="0.2">
      <c r="A265" s="823"/>
      <c r="B265" s="823"/>
      <c r="C265" s="824"/>
      <c r="D265" s="825"/>
      <c r="E265" s="826"/>
      <c r="F265" s="827"/>
      <c r="G265" s="827"/>
      <c r="H265" s="828"/>
      <c r="I265" s="829"/>
      <c r="J265" s="828"/>
      <c r="K265" s="828"/>
      <c r="L265" s="828"/>
      <c r="M265" s="828"/>
      <c r="N265" s="828"/>
      <c r="O265" s="828"/>
      <c r="P265" s="828"/>
      <c r="Q265" s="828"/>
      <c r="R265" s="828"/>
      <c r="S265" s="828"/>
      <c r="T265" s="828"/>
      <c r="U265" s="828"/>
      <c r="V265" s="828"/>
      <c r="W265" s="828"/>
      <c r="X265" s="828"/>
    </row>
    <row r="266" spans="1:26" s="510" customFormat="1" x14ac:dyDescent="0.2">
      <c r="A266" s="843"/>
      <c r="B266" s="844"/>
      <c r="C266" s="845" t="s">
        <v>1170</v>
      </c>
      <c r="D266" s="846">
        <f t="shared" ref="D266:X266" si="72">D264-D263</f>
        <v>155.97999999998137</v>
      </c>
      <c r="E266" s="847">
        <f t="shared" si="72"/>
        <v>285497.78000000003</v>
      </c>
      <c r="F266" s="848">
        <f t="shared" si="72"/>
        <v>155.97999999998137</v>
      </c>
      <c r="G266" s="848">
        <f t="shared" si="72"/>
        <v>-11237.001666666649</v>
      </c>
      <c r="H266" s="849">
        <f t="shared" si="72"/>
        <v>491129.19999999995</v>
      </c>
      <c r="I266" s="849">
        <f t="shared" si="72"/>
        <v>-22474.003333333298</v>
      </c>
      <c r="J266" s="850">
        <f t="shared" si="72"/>
        <v>628783.87</v>
      </c>
      <c r="K266" s="850">
        <f t="shared" si="72"/>
        <v>15413.994999999995</v>
      </c>
      <c r="L266" s="850">
        <f t="shared" si="72"/>
        <v>630563.83000000007</v>
      </c>
      <c r="M266" s="850">
        <f t="shared" si="72"/>
        <v>0</v>
      </c>
      <c r="N266" s="850">
        <f t="shared" si="72"/>
        <v>0</v>
      </c>
      <c r="O266" s="850">
        <f t="shared" si="72"/>
        <v>0</v>
      </c>
      <c r="P266" s="850">
        <f t="shared" si="72"/>
        <v>0</v>
      </c>
      <c r="Q266" s="850">
        <f t="shared" si="72"/>
        <v>0</v>
      </c>
      <c r="R266" s="850">
        <f t="shared" si="72"/>
        <v>0</v>
      </c>
      <c r="S266" s="850">
        <f t="shared" si="72"/>
        <v>0</v>
      </c>
      <c r="T266" s="850">
        <f t="shared" si="72"/>
        <v>0</v>
      </c>
      <c r="U266" s="850">
        <f t="shared" si="72"/>
        <v>0</v>
      </c>
      <c r="V266" s="850">
        <f t="shared" si="72"/>
        <v>0</v>
      </c>
      <c r="W266" s="850">
        <f t="shared" si="72"/>
        <v>0</v>
      </c>
      <c r="X266" s="850">
        <f t="shared" si="72"/>
        <v>0</v>
      </c>
      <c r="Y266" s="342"/>
      <c r="Z266" s="366"/>
    </row>
    <row r="267" spans="1:26" x14ac:dyDescent="0.2">
      <c r="D267" s="512"/>
      <c r="E267" s="514"/>
      <c r="F267" s="512"/>
      <c r="G267" s="512"/>
      <c r="H267" s="514"/>
      <c r="I267" s="514"/>
      <c r="J267" s="514"/>
      <c r="K267" s="514"/>
      <c r="L267" s="514"/>
      <c r="M267" s="514"/>
      <c r="N267" s="514"/>
      <c r="O267" s="514"/>
      <c r="P267" s="514"/>
      <c r="Q267" s="514"/>
      <c r="R267" s="514"/>
      <c r="S267" s="514"/>
      <c r="T267" s="514"/>
      <c r="U267" s="514"/>
      <c r="V267" s="514"/>
      <c r="W267" s="514"/>
      <c r="X267" s="514"/>
    </row>
    <row r="268" spans="1:26" x14ac:dyDescent="0.2">
      <c r="D268" s="517" t="s">
        <v>1172</v>
      </c>
      <c r="E268" s="851" t="s">
        <v>1291</v>
      </c>
      <c r="F268" s="517" t="s">
        <v>1172</v>
      </c>
      <c r="G268" s="517"/>
    </row>
    <row r="269" spans="1:26" x14ac:dyDescent="0.2">
      <c r="C269" s="519" t="s">
        <v>524</v>
      </c>
      <c r="D269" s="512"/>
      <c r="E269" s="514"/>
      <c r="F269" s="512"/>
      <c r="G269" s="512"/>
      <c r="H269" s="514"/>
      <c r="I269" s="514"/>
      <c r="J269" s="514"/>
      <c r="K269" s="514"/>
      <c r="L269" s="514"/>
      <c r="M269" s="514"/>
      <c r="N269" s="514"/>
      <c r="O269" s="514"/>
      <c r="P269" s="514"/>
      <c r="Q269" s="514"/>
      <c r="R269" s="514"/>
      <c r="S269" s="514"/>
      <c r="T269" s="514"/>
      <c r="U269" s="514"/>
      <c r="V269" s="514"/>
      <c r="W269" s="514"/>
      <c r="X269" s="514"/>
    </row>
    <row r="270" spans="1:26" x14ac:dyDescent="0.2">
      <c r="C270" s="520" t="s">
        <v>526</v>
      </c>
      <c r="D270" s="522">
        <f>D281</f>
        <v>180155.97999999998</v>
      </c>
      <c r="E270" s="526">
        <v>465497.78</v>
      </c>
      <c r="F270" s="522">
        <f>F281</f>
        <v>180155.97999999998</v>
      </c>
      <c r="G270" s="522"/>
      <c r="H270" s="524">
        <v>671129.2</v>
      </c>
      <c r="I270" s="524"/>
      <c r="J270" s="524">
        <v>808783.87</v>
      </c>
      <c r="K270" s="524"/>
      <c r="L270" s="524">
        <v>810563.83</v>
      </c>
      <c r="M270" s="525"/>
      <c r="N270" s="525"/>
      <c r="O270" s="525"/>
      <c r="P270" s="525"/>
      <c r="Q270" s="526"/>
      <c r="R270" s="526"/>
      <c r="S270" s="526"/>
      <c r="T270" s="526"/>
      <c r="U270" s="526"/>
      <c r="V270" s="526"/>
      <c r="W270" s="526"/>
      <c r="X270" s="526"/>
    </row>
    <row r="271" spans="1:26" x14ac:dyDescent="0.2">
      <c r="C271" s="520" t="s">
        <v>527</v>
      </c>
      <c r="D271" s="522">
        <v>0</v>
      </c>
      <c r="E271" s="526">
        <v>0</v>
      </c>
      <c r="F271" s="522">
        <v>0</v>
      </c>
      <c r="G271" s="522"/>
      <c r="H271" s="525">
        <v>0</v>
      </c>
      <c r="I271" s="525"/>
      <c r="J271" s="525">
        <v>0</v>
      </c>
      <c r="K271" s="525"/>
      <c r="L271" s="525">
        <v>0</v>
      </c>
      <c r="M271" s="525">
        <v>0</v>
      </c>
      <c r="N271" s="525">
        <v>0</v>
      </c>
      <c r="O271" s="525">
        <v>0</v>
      </c>
      <c r="P271" s="525">
        <v>0</v>
      </c>
      <c r="Q271" s="526">
        <v>0</v>
      </c>
      <c r="R271" s="526">
        <v>0</v>
      </c>
      <c r="S271" s="526">
        <v>0</v>
      </c>
      <c r="T271" s="526">
        <v>0</v>
      </c>
      <c r="U271" s="526">
        <v>0</v>
      </c>
      <c r="V271" s="526">
        <v>0</v>
      </c>
      <c r="W271" s="526">
        <v>0</v>
      </c>
      <c r="X271" s="526"/>
    </row>
    <row r="272" spans="1:26" x14ac:dyDescent="0.2">
      <c r="C272" s="520" t="s">
        <v>528</v>
      </c>
      <c r="D272" s="522">
        <v>0</v>
      </c>
      <c r="E272" s="526">
        <v>0</v>
      </c>
      <c r="F272" s="522">
        <v>0</v>
      </c>
      <c r="G272" s="522"/>
      <c r="H272" s="525">
        <v>0</v>
      </c>
      <c r="I272" s="525"/>
      <c r="J272" s="525">
        <v>0</v>
      </c>
      <c r="K272" s="525"/>
      <c r="L272" s="525">
        <v>0</v>
      </c>
      <c r="M272" s="525">
        <v>0</v>
      </c>
      <c r="N272" s="525">
        <v>0</v>
      </c>
      <c r="O272" s="525">
        <v>0</v>
      </c>
      <c r="P272" s="525">
        <v>0</v>
      </c>
      <c r="Q272" s="526">
        <v>0</v>
      </c>
      <c r="R272" s="526">
        <v>0</v>
      </c>
      <c r="S272" s="526">
        <v>0</v>
      </c>
      <c r="T272" s="526">
        <v>0</v>
      </c>
      <c r="U272" s="526">
        <v>0</v>
      </c>
      <c r="V272" s="526">
        <v>0</v>
      </c>
      <c r="W272" s="526">
        <v>0</v>
      </c>
      <c r="X272" s="526"/>
    </row>
    <row r="273" spans="3:26" x14ac:dyDescent="0.2">
      <c r="C273" s="527"/>
      <c r="D273" s="522"/>
      <c r="E273" s="526">
        <v>0</v>
      </c>
      <c r="F273" s="522"/>
      <c r="G273" s="522"/>
      <c r="H273" s="525"/>
      <c r="I273" s="525"/>
      <c r="J273" s="525"/>
      <c r="K273" s="525"/>
      <c r="L273" s="525"/>
      <c r="M273" s="525"/>
      <c r="N273" s="525"/>
      <c r="O273" s="525"/>
      <c r="P273" s="525"/>
      <c r="Q273" s="528"/>
      <c r="R273" s="526"/>
      <c r="S273" s="526"/>
      <c r="T273" s="526"/>
      <c r="U273" s="526"/>
      <c r="V273" s="526"/>
      <c r="W273" s="526">
        <v>0</v>
      </c>
      <c r="X273" s="526">
        <v>0</v>
      </c>
    </row>
    <row r="274" spans="3:26" x14ac:dyDescent="0.2">
      <c r="C274" s="519" t="s">
        <v>529</v>
      </c>
      <c r="D274" s="530">
        <f>SUM(D270:D273)</f>
        <v>180155.97999999998</v>
      </c>
      <c r="E274" s="533">
        <f t="shared" ref="E274" si="73">SUM(E270:E273)</f>
        <v>465497.78</v>
      </c>
      <c r="F274" s="530">
        <f>SUM(F270:F273)</f>
        <v>180155.97999999998</v>
      </c>
      <c r="G274" s="530"/>
      <c r="H274" s="532">
        <f t="shared" ref="H274" si="74">SUM(H270:H272)</f>
        <v>671129.2</v>
      </c>
      <c r="I274" s="532"/>
      <c r="J274" s="532">
        <f t="shared" ref="J274:P274" si="75">SUM(J270:J272)</f>
        <v>808783.87</v>
      </c>
      <c r="K274" s="532"/>
      <c r="L274" s="532">
        <f t="shared" si="75"/>
        <v>810563.83</v>
      </c>
      <c r="M274" s="532">
        <f t="shared" si="75"/>
        <v>0</v>
      </c>
      <c r="N274" s="533">
        <f t="shared" si="75"/>
        <v>0</v>
      </c>
      <c r="O274" s="533">
        <f t="shared" si="75"/>
        <v>0</v>
      </c>
      <c r="P274" s="533">
        <f t="shared" si="75"/>
        <v>0</v>
      </c>
      <c r="Q274" s="533">
        <f t="shared" ref="Q274:X274" si="76">SUM(Q270:Q273)</f>
        <v>0</v>
      </c>
      <c r="R274" s="533">
        <f t="shared" si="76"/>
        <v>0</v>
      </c>
      <c r="S274" s="533">
        <f t="shared" si="76"/>
        <v>0</v>
      </c>
      <c r="T274" s="533">
        <f t="shared" si="76"/>
        <v>0</v>
      </c>
      <c r="U274" s="533">
        <f t="shared" si="76"/>
        <v>0</v>
      </c>
      <c r="V274" s="533">
        <f t="shared" si="76"/>
        <v>0</v>
      </c>
      <c r="W274" s="533">
        <f t="shared" si="76"/>
        <v>0</v>
      </c>
      <c r="X274" s="533">
        <f t="shared" si="76"/>
        <v>0</v>
      </c>
    </row>
    <row r="275" spans="3:26" x14ac:dyDescent="0.2">
      <c r="D275" s="528"/>
      <c r="E275" s="526"/>
      <c r="F275" s="528"/>
      <c r="G275" s="528"/>
      <c r="H275" s="525"/>
      <c r="I275" s="525"/>
      <c r="J275" s="525"/>
      <c r="K275" s="525"/>
      <c r="L275" s="525"/>
      <c r="M275" s="525"/>
      <c r="N275" s="525"/>
      <c r="O275" s="525"/>
      <c r="P275" s="525"/>
      <c r="Q275" s="526"/>
      <c r="R275" s="526"/>
      <c r="S275" s="526"/>
      <c r="T275" s="526"/>
      <c r="U275" s="526"/>
      <c r="V275" s="526"/>
      <c r="W275" s="526"/>
      <c r="X275" s="526"/>
    </row>
    <row r="276" spans="3:26" x14ac:dyDescent="0.2">
      <c r="C276" s="519" t="s">
        <v>530</v>
      </c>
      <c r="D276" s="528"/>
      <c r="E276" s="526"/>
      <c r="F276" s="528"/>
      <c r="G276" s="528"/>
      <c r="H276" s="535"/>
      <c r="I276" s="535"/>
      <c r="J276" s="535"/>
      <c r="K276" s="535"/>
      <c r="L276" s="535"/>
      <c r="M276" s="535"/>
      <c r="N276" s="535"/>
      <c r="O276" s="535"/>
      <c r="P276" s="535"/>
      <c r="Q276" s="526"/>
      <c r="R276" s="526"/>
      <c r="S276" s="526"/>
      <c r="T276" s="526"/>
      <c r="U276" s="526"/>
      <c r="V276" s="526"/>
      <c r="W276" s="526"/>
      <c r="X276" s="526"/>
    </row>
    <row r="277" spans="3:26" x14ac:dyDescent="0.2">
      <c r="C277" s="520" t="s">
        <v>531</v>
      </c>
      <c r="D277" s="530">
        <f>D$266</f>
        <v>155.97999999998137</v>
      </c>
      <c r="E277" s="533">
        <f t="shared" ref="E277" si="77">E266</f>
        <v>285497.78000000003</v>
      </c>
      <c r="F277" s="530">
        <f>F$266</f>
        <v>155.97999999998137</v>
      </c>
      <c r="G277" s="530"/>
      <c r="H277" s="530">
        <f t="shared" ref="H277" si="78">H266</f>
        <v>491129.19999999995</v>
      </c>
      <c r="I277" s="530"/>
      <c r="J277" s="533">
        <f>J266</f>
        <v>628783.87</v>
      </c>
      <c r="K277" s="533"/>
      <c r="L277" s="533">
        <f t="shared" ref="L277:X277" si="79">L266</f>
        <v>630563.83000000007</v>
      </c>
      <c r="M277" s="533">
        <f t="shared" si="79"/>
        <v>0</v>
      </c>
      <c r="N277" s="533">
        <f t="shared" si="79"/>
        <v>0</v>
      </c>
      <c r="O277" s="533">
        <f t="shared" si="79"/>
        <v>0</v>
      </c>
      <c r="P277" s="533">
        <f t="shared" si="79"/>
        <v>0</v>
      </c>
      <c r="Q277" s="533">
        <f t="shared" si="79"/>
        <v>0</v>
      </c>
      <c r="R277" s="533">
        <f t="shared" si="79"/>
        <v>0</v>
      </c>
      <c r="S277" s="533">
        <f t="shared" si="79"/>
        <v>0</v>
      </c>
      <c r="T277" s="533">
        <f t="shared" si="79"/>
        <v>0</v>
      </c>
      <c r="U277" s="533">
        <f t="shared" si="79"/>
        <v>0</v>
      </c>
      <c r="V277" s="533">
        <f t="shared" si="79"/>
        <v>0</v>
      </c>
      <c r="W277" s="533">
        <f t="shared" si="79"/>
        <v>0</v>
      </c>
      <c r="X277" s="533">
        <f t="shared" si="79"/>
        <v>0</v>
      </c>
    </row>
    <row r="278" spans="3:26" x14ac:dyDescent="0.2">
      <c r="C278" s="520" t="s">
        <v>512</v>
      </c>
      <c r="D278" s="530">
        <v>115000</v>
      </c>
      <c r="E278" s="525">
        <v>115000</v>
      </c>
      <c r="F278" s="530">
        <v>115000</v>
      </c>
      <c r="G278" s="530"/>
      <c r="H278" s="537">
        <v>115000</v>
      </c>
      <c r="I278" s="537"/>
      <c r="J278" s="525">
        <v>115000</v>
      </c>
      <c r="K278" s="525"/>
      <c r="L278" s="525">
        <v>115000</v>
      </c>
      <c r="M278" s="525">
        <v>115000</v>
      </c>
      <c r="N278" s="525">
        <v>115000</v>
      </c>
      <c r="O278" s="525">
        <v>115000</v>
      </c>
      <c r="P278" s="525">
        <v>115000</v>
      </c>
      <c r="Q278" s="525">
        <v>115000</v>
      </c>
      <c r="R278" s="525">
        <v>115000</v>
      </c>
      <c r="S278" s="525">
        <v>115000</v>
      </c>
      <c r="T278" s="525">
        <v>115000</v>
      </c>
      <c r="U278" s="525">
        <v>115000</v>
      </c>
      <c r="V278" s="525">
        <v>115000</v>
      </c>
      <c r="W278" s="525">
        <v>115000</v>
      </c>
      <c r="X278" s="525"/>
    </row>
    <row r="279" spans="3:26" x14ac:dyDescent="0.2">
      <c r="C279" s="520" t="s">
        <v>1173</v>
      </c>
      <c r="D279" s="530">
        <v>5000</v>
      </c>
      <c r="E279" s="525">
        <v>5000</v>
      </c>
      <c r="F279" s="530">
        <v>5000</v>
      </c>
      <c r="G279" s="530"/>
      <c r="H279" s="537">
        <v>5000</v>
      </c>
      <c r="I279" s="537"/>
      <c r="J279" s="525">
        <v>5000</v>
      </c>
      <c r="K279" s="525"/>
      <c r="L279" s="525">
        <v>5000</v>
      </c>
      <c r="M279" s="525">
        <v>5000</v>
      </c>
      <c r="N279" s="525">
        <v>5000</v>
      </c>
      <c r="O279" s="525">
        <v>5000</v>
      </c>
      <c r="P279" s="525">
        <v>5000</v>
      </c>
      <c r="Q279" s="525">
        <v>5000</v>
      </c>
      <c r="R279" s="525">
        <v>5000</v>
      </c>
      <c r="S279" s="525">
        <v>5000</v>
      </c>
      <c r="T279" s="525">
        <v>5000</v>
      </c>
      <c r="U279" s="525">
        <v>5000</v>
      </c>
      <c r="V279" s="525">
        <v>5000</v>
      </c>
      <c r="W279" s="525">
        <v>5000</v>
      </c>
      <c r="X279" s="525"/>
    </row>
    <row r="280" spans="3:26" x14ac:dyDescent="0.2">
      <c r="C280" s="520" t="s">
        <v>533</v>
      </c>
      <c r="D280" s="530">
        <v>60000</v>
      </c>
      <c r="E280" s="525">
        <v>60000</v>
      </c>
      <c r="F280" s="530">
        <v>60000</v>
      </c>
      <c r="G280" s="530"/>
      <c r="H280" s="537">
        <v>60000</v>
      </c>
      <c r="I280" s="537"/>
      <c r="J280" s="525">
        <v>60000</v>
      </c>
      <c r="K280" s="525"/>
      <c r="L280" s="525">
        <v>60000</v>
      </c>
      <c r="M280" s="525">
        <v>60000</v>
      </c>
      <c r="N280" s="525">
        <v>60000</v>
      </c>
      <c r="O280" s="525">
        <v>60000</v>
      </c>
      <c r="P280" s="525">
        <v>60000</v>
      </c>
      <c r="Q280" s="525">
        <v>60000</v>
      </c>
      <c r="R280" s="525">
        <v>60000</v>
      </c>
      <c r="S280" s="525">
        <v>60000</v>
      </c>
      <c r="T280" s="525">
        <v>60000</v>
      </c>
      <c r="U280" s="525">
        <v>60000</v>
      </c>
      <c r="V280" s="525">
        <v>60000</v>
      </c>
      <c r="W280" s="525">
        <v>60000</v>
      </c>
      <c r="X280" s="525"/>
    </row>
    <row r="281" spans="3:26" x14ac:dyDescent="0.2">
      <c r="C281" s="519" t="s">
        <v>534</v>
      </c>
      <c r="D281" s="530">
        <f>SUM(D$277:D$280)</f>
        <v>180155.97999999998</v>
      </c>
      <c r="E281" s="533">
        <f t="shared" ref="E281" si="80">SUM(E277:E280)</f>
        <v>465497.78</v>
      </c>
      <c r="F281" s="530">
        <f>SUM(F$277:F$280)</f>
        <v>180155.97999999998</v>
      </c>
      <c r="G281" s="530"/>
      <c r="H281" s="530">
        <f>SUM(H$277:H$280)</f>
        <v>671129.2</v>
      </c>
      <c r="I281" s="530"/>
      <c r="J281" s="533">
        <f t="shared" ref="J281:X281" si="81">SUM(J277:J280)</f>
        <v>808783.87</v>
      </c>
      <c r="K281" s="533"/>
      <c r="L281" s="533">
        <f t="shared" si="81"/>
        <v>810563.83000000007</v>
      </c>
      <c r="M281" s="533">
        <f t="shared" si="81"/>
        <v>180000</v>
      </c>
      <c r="N281" s="533">
        <f t="shared" si="81"/>
        <v>180000</v>
      </c>
      <c r="O281" s="533">
        <f t="shared" si="81"/>
        <v>180000</v>
      </c>
      <c r="P281" s="533">
        <f t="shared" si="81"/>
        <v>180000</v>
      </c>
      <c r="Q281" s="533">
        <f t="shared" si="81"/>
        <v>180000</v>
      </c>
      <c r="R281" s="533">
        <f t="shared" si="81"/>
        <v>180000</v>
      </c>
      <c r="S281" s="533">
        <f t="shared" si="81"/>
        <v>180000</v>
      </c>
      <c r="T281" s="533">
        <f t="shared" si="81"/>
        <v>180000</v>
      </c>
      <c r="U281" s="533">
        <f t="shared" si="81"/>
        <v>180000</v>
      </c>
      <c r="V281" s="533">
        <f t="shared" si="81"/>
        <v>180000</v>
      </c>
      <c r="W281" s="533">
        <f t="shared" si="81"/>
        <v>180000</v>
      </c>
      <c r="X281" s="533">
        <f t="shared" si="81"/>
        <v>0</v>
      </c>
    </row>
    <row r="282" spans="3:26" x14ac:dyDescent="0.2">
      <c r="D282" s="530"/>
      <c r="E282" s="539"/>
      <c r="F282" s="530"/>
      <c r="G282" s="530"/>
      <c r="H282" s="514"/>
      <c r="I282" s="514"/>
      <c r="J282" s="514"/>
      <c r="K282" s="514"/>
      <c r="L282" s="514"/>
      <c r="M282" s="514"/>
      <c r="N282" s="514"/>
      <c r="O282" s="514"/>
      <c r="P282" s="514"/>
      <c r="Q282" s="539"/>
      <c r="R282" s="539"/>
      <c r="S282" s="539"/>
      <c r="T282" s="539"/>
      <c r="U282" s="539"/>
      <c r="V282" s="539"/>
      <c r="W282" s="539"/>
      <c r="X282" s="539"/>
    </row>
    <row r="283" spans="3:26" x14ac:dyDescent="0.2">
      <c r="C283" s="519"/>
      <c r="D283" s="541"/>
      <c r="E283" s="539"/>
      <c r="F283" s="541"/>
      <c r="G283" s="541"/>
      <c r="Q283" s="539"/>
      <c r="R283" s="539"/>
      <c r="S283" s="539"/>
      <c r="T283" s="539"/>
      <c r="U283" s="539"/>
      <c r="V283" s="539"/>
      <c r="W283" s="539"/>
      <c r="X283" s="539"/>
    </row>
    <row r="284" spans="3:26" s="367" customFormat="1" x14ac:dyDescent="0.2">
      <c r="C284" s="519" t="s">
        <v>535</v>
      </c>
      <c r="D284" s="543" t="s">
        <v>1171</v>
      </c>
      <c r="E284" s="545"/>
      <c r="F284" s="543" t="s">
        <v>1171</v>
      </c>
      <c r="G284" s="543"/>
      <c r="H284" s="545"/>
      <c r="I284" s="545"/>
      <c r="J284" s="545"/>
      <c r="K284" s="545"/>
      <c r="L284" s="545"/>
      <c r="M284" s="545"/>
      <c r="N284" s="545"/>
      <c r="O284" s="545"/>
      <c r="P284" s="545"/>
      <c r="Q284" s="545"/>
      <c r="R284" s="545"/>
      <c r="S284" s="545"/>
      <c r="T284" s="545"/>
      <c r="U284" s="545"/>
      <c r="V284" s="545"/>
      <c r="W284" s="545"/>
      <c r="X284" s="545"/>
      <c r="Y284" s="365"/>
      <c r="Z284" s="343"/>
    </row>
    <row r="285" spans="3:26" x14ac:dyDescent="0.2">
      <c r="C285" s="546"/>
      <c r="D285" s="530"/>
      <c r="E285" s="539"/>
      <c r="F285" s="530"/>
      <c r="G285" s="530"/>
      <c r="H285" s="514"/>
      <c r="I285" s="514"/>
      <c r="J285" s="514"/>
      <c r="K285" s="514"/>
      <c r="L285" s="514"/>
      <c r="M285" s="514"/>
      <c r="N285" s="514"/>
      <c r="O285" s="514"/>
      <c r="P285" s="514"/>
      <c r="Q285" s="547"/>
      <c r="R285" s="539"/>
      <c r="S285" s="539"/>
      <c r="T285" s="539"/>
      <c r="U285" s="539"/>
      <c r="V285" s="539"/>
      <c r="W285" s="539"/>
      <c r="X285" s="539"/>
    </row>
    <row r="286" spans="3:26" s="367" customFormat="1" x14ac:dyDescent="0.2">
      <c r="C286" s="548" t="s">
        <v>524</v>
      </c>
      <c r="D286" s="550">
        <f>D274</f>
        <v>180155.97999999998</v>
      </c>
      <c r="E286" s="545"/>
      <c r="F286" s="550">
        <f>F274</f>
        <v>180155.97999999998</v>
      </c>
      <c r="G286" s="550"/>
      <c r="H286" s="545"/>
      <c r="I286" s="545"/>
      <c r="J286" s="545"/>
      <c r="K286" s="545"/>
      <c r="L286" s="545"/>
      <c r="M286" s="545"/>
      <c r="N286" s="545"/>
      <c r="O286" s="545"/>
      <c r="P286" s="545"/>
      <c r="Q286" s="545"/>
      <c r="R286" s="545"/>
      <c r="S286" s="545"/>
      <c r="T286" s="545"/>
      <c r="U286" s="545"/>
      <c r="V286" s="545"/>
      <c r="W286" s="545"/>
      <c r="X286" s="545"/>
      <c r="Y286" s="365"/>
      <c r="Z286" s="343"/>
    </row>
    <row r="287" spans="3:26" s="367" customFormat="1" x14ac:dyDescent="0.2">
      <c r="C287" s="551" t="s">
        <v>1174</v>
      </c>
      <c r="D287" s="530"/>
      <c r="E287" s="539"/>
      <c r="F287" s="530"/>
      <c r="G287" s="530"/>
      <c r="H287" s="514"/>
      <c r="I287" s="514"/>
      <c r="J287" s="514"/>
      <c r="K287" s="514"/>
      <c r="L287" s="514"/>
      <c r="M287" s="514"/>
      <c r="N287" s="514"/>
      <c r="O287" s="514"/>
      <c r="P287" s="514"/>
      <c r="Q287" s="539"/>
      <c r="R287" s="539"/>
      <c r="S287" s="539"/>
      <c r="T287" s="539"/>
      <c r="U287" s="539"/>
      <c r="V287" s="539"/>
      <c r="W287" s="539"/>
      <c r="X287" s="539"/>
      <c r="Y287" s="365"/>
      <c r="Z287" s="343"/>
    </row>
    <row r="288" spans="3:26" s="367" customFormat="1" x14ac:dyDescent="0.2">
      <c r="C288" s="548" t="s">
        <v>1175</v>
      </c>
      <c r="D288" s="530">
        <f>D24*0.05</f>
        <v>28000</v>
      </c>
      <c r="E288" s="545"/>
      <c r="F288" s="530">
        <f>F24*0.05</f>
        <v>28000</v>
      </c>
      <c r="G288" s="530"/>
      <c r="H288" s="545"/>
      <c r="I288" s="545"/>
      <c r="J288" s="545"/>
      <c r="K288" s="545"/>
      <c r="L288" s="545"/>
      <c r="M288" s="545"/>
      <c r="N288" s="552"/>
      <c r="O288" s="545"/>
      <c r="P288" s="545"/>
      <c r="Q288" s="545"/>
      <c r="R288" s="545"/>
      <c r="S288" s="545"/>
      <c r="T288" s="545"/>
      <c r="U288" s="545"/>
      <c r="V288" s="545"/>
      <c r="W288" s="545"/>
      <c r="X288" s="545"/>
      <c r="Y288" s="365"/>
      <c r="Z288" s="343"/>
    </row>
    <row r="289" spans="3:7" x14ac:dyDescent="0.2">
      <c r="C289" s="553" t="s">
        <v>1176</v>
      </c>
      <c r="D289" s="555">
        <f>D286-D288</f>
        <v>152155.97999999998</v>
      </c>
      <c r="F289" s="555">
        <f>F286-F288</f>
        <v>152155.97999999998</v>
      </c>
      <c r="G289" s="555"/>
    </row>
    <row r="290" spans="3:7" x14ac:dyDescent="0.2">
      <c r="D290" s="541"/>
      <c r="F290" s="541"/>
      <c r="G290" s="541"/>
    </row>
    <row r="291" spans="3:7" x14ac:dyDescent="0.2">
      <c r="C291" s="556" t="s">
        <v>1177</v>
      </c>
      <c r="D291" s="530">
        <f>D24*0.18</f>
        <v>100800</v>
      </c>
      <c r="F291" s="530">
        <f>F24*0.18</f>
        <v>100800</v>
      </c>
      <c r="G291" s="530"/>
    </row>
    <row r="292" spans="3:7" x14ac:dyDescent="0.2">
      <c r="C292" s="546"/>
    </row>
    <row r="293" spans="3:7" x14ac:dyDescent="0.2">
      <c r="C293" s="559" t="s">
        <v>1178</v>
      </c>
      <c r="D293" s="561">
        <f>D289-D291</f>
        <v>51355.979999999981</v>
      </c>
      <c r="F293" s="561">
        <f>F289-F291</f>
        <v>51355.979999999981</v>
      </c>
      <c r="G293" s="561"/>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0BC8C-F0D9-4051-A63E-BF629EE46104}">
  <sheetPr codeName="Tabelle8"/>
  <dimension ref="A1:M33"/>
  <sheetViews>
    <sheetView topLeftCell="D3" workbookViewId="0">
      <selection activeCell="L30" sqref="L30"/>
    </sheetView>
  </sheetViews>
  <sheetFormatPr baseColWidth="10" defaultColWidth="11.5" defaultRowHeight="15" x14ac:dyDescent="0.2"/>
  <cols>
    <col min="1" max="1" width="36.5" customWidth="1"/>
    <col min="3" max="4" width="13.5" customWidth="1"/>
    <col min="5" max="5" width="19.5" customWidth="1"/>
    <col min="6" max="6" width="33.6640625" customWidth="1"/>
    <col min="8" max="8" width="13.5" customWidth="1"/>
    <col min="11" max="11" width="31" customWidth="1"/>
    <col min="13" max="13" width="20.5" customWidth="1"/>
  </cols>
  <sheetData>
    <row r="1" spans="1:13" ht="30" customHeight="1" x14ac:dyDescent="0.2">
      <c r="A1" s="47" t="s">
        <v>123</v>
      </c>
    </row>
    <row r="2" spans="1:13" ht="20.25" customHeight="1" x14ac:dyDescent="0.2">
      <c r="A2" s="22" t="s">
        <v>540</v>
      </c>
      <c r="F2" s="22" t="s">
        <v>541</v>
      </c>
      <c r="K2" s="22" t="s">
        <v>1302</v>
      </c>
    </row>
    <row r="3" spans="1:13" s="30" customFormat="1" ht="36" customHeight="1" x14ac:dyDescent="0.2">
      <c r="A3" s="30" t="s">
        <v>542</v>
      </c>
      <c r="B3" s="30" t="s">
        <v>543</v>
      </c>
      <c r="C3" s="30" t="s">
        <v>544</v>
      </c>
      <c r="F3" s="30" t="s">
        <v>542</v>
      </c>
      <c r="G3" s="30" t="s">
        <v>543</v>
      </c>
      <c r="H3" s="30" t="s">
        <v>544</v>
      </c>
      <c r="K3" s="30" t="s">
        <v>542</v>
      </c>
      <c r="L3" s="30" t="s">
        <v>543</v>
      </c>
      <c r="M3" s="30" t="s">
        <v>544</v>
      </c>
    </row>
    <row r="4" spans="1:13" x14ac:dyDescent="0.2">
      <c r="A4" t="s">
        <v>545</v>
      </c>
      <c r="B4" t="s">
        <v>546</v>
      </c>
      <c r="C4" s="14">
        <f>(400*12)+(240*12)</f>
        <v>7680</v>
      </c>
      <c r="F4" t="s">
        <v>545</v>
      </c>
      <c r="G4" t="s">
        <v>546</v>
      </c>
      <c r="H4" s="14">
        <f>(400*12)+(240*12)</f>
        <v>7680</v>
      </c>
      <c r="K4" t="s">
        <v>545</v>
      </c>
      <c r="L4" t="s">
        <v>546</v>
      </c>
      <c r="M4" s="14">
        <f>(400*12)+(240*12)</f>
        <v>7680</v>
      </c>
    </row>
    <row r="5" spans="1:13" x14ac:dyDescent="0.2">
      <c r="A5" t="s">
        <v>547</v>
      </c>
      <c r="B5" t="s">
        <v>546</v>
      </c>
      <c r="C5" s="14">
        <f>(320*12)+(160*12)</f>
        <v>5760</v>
      </c>
      <c r="F5" t="s">
        <v>547</v>
      </c>
      <c r="G5" t="s">
        <v>546</v>
      </c>
      <c r="H5" s="14">
        <f>(320*12)+(160*12)</f>
        <v>5760</v>
      </c>
      <c r="K5" t="s">
        <v>547</v>
      </c>
      <c r="L5" t="s">
        <v>546</v>
      </c>
      <c r="M5" s="14">
        <f>(320*12)+(160*12)</f>
        <v>5760</v>
      </c>
    </row>
    <row r="6" spans="1:13" x14ac:dyDescent="0.2">
      <c r="A6" t="s">
        <v>548</v>
      </c>
      <c r="B6" t="s">
        <v>546</v>
      </c>
      <c r="C6" s="14">
        <v>4000</v>
      </c>
      <c r="D6" s="16">
        <f>SUM(C4:C6)</f>
        <v>17440</v>
      </c>
      <c r="E6" t="s">
        <v>549</v>
      </c>
      <c r="F6" t="s">
        <v>548</v>
      </c>
      <c r="G6" t="s">
        <v>546</v>
      </c>
      <c r="H6" s="14">
        <v>4000</v>
      </c>
      <c r="I6" s="16">
        <f>SUM(H4:H6)</f>
        <v>17440</v>
      </c>
      <c r="J6" t="s">
        <v>549</v>
      </c>
      <c r="K6" t="s">
        <v>548</v>
      </c>
      <c r="L6" t="s">
        <v>546</v>
      </c>
      <c r="M6" s="14">
        <v>4000</v>
      </c>
    </row>
    <row r="7" spans="1:13" x14ac:dyDescent="0.2">
      <c r="A7" t="s">
        <v>550</v>
      </c>
      <c r="B7" t="s">
        <v>546</v>
      </c>
      <c r="C7" s="14">
        <f>800*5*12</f>
        <v>48000</v>
      </c>
      <c r="D7" s="16">
        <v>9600</v>
      </c>
      <c r="E7" t="s">
        <v>551</v>
      </c>
      <c r="F7" t="s">
        <v>550</v>
      </c>
      <c r="G7" t="s">
        <v>546</v>
      </c>
      <c r="H7" s="14">
        <f>800*5*12</f>
        <v>48000</v>
      </c>
      <c r="I7" s="16">
        <v>9600</v>
      </c>
      <c r="J7" t="s">
        <v>551</v>
      </c>
      <c r="K7" t="s">
        <v>550</v>
      </c>
      <c r="L7" t="s">
        <v>546</v>
      </c>
      <c r="M7" s="14">
        <f>800*5*12</f>
        <v>48000</v>
      </c>
    </row>
    <row r="8" spans="1:13" x14ac:dyDescent="0.2">
      <c r="A8" t="s">
        <v>552</v>
      </c>
      <c r="B8" t="s">
        <v>553</v>
      </c>
      <c r="C8" s="14">
        <v>1000</v>
      </c>
      <c r="F8" t="s">
        <v>552</v>
      </c>
      <c r="G8" t="s">
        <v>553</v>
      </c>
      <c r="H8" s="14">
        <v>1500</v>
      </c>
      <c r="K8" t="s">
        <v>552</v>
      </c>
      <c r="L8" t="s">
        <v>553</v>
      </c>
      <c r="M8" s="14">
        <v>1500</v>
      </c>
    </row>
    <row r="9" spans="1:13" x14ac:dyDescent="0.2">
      <c r="A9" t="s">
        <v>554</v>
      </c>
      <c r="B9" t="s">
        <v>553</v>
      </c>
      <c r="C9" s="14">
        <v>17320</v>
      </c>
      <c r="F9" t="s">
        <v>554</v>
      </c>
      <c r="G9" t="s">
        <v>553</v>
      </c>
      <c r="H9" s="14">
        <f>D21+D22+D23</f>
        <v>25010</v>
      </c>
      <c r="K9" t="s">
        <v>554</v>
      </c>
      <c r="L9" t="s">
        <v>553</v>
      </c>
      <c r="M9" s="14">
        <f>I21+I22+I23</f>
        <v>0</v>
      </c>
    </row>
    <row r="10" spans="1:13" x14ac:dyDescent="0.2">
      <c r="A10" t="s">
        <v>555</v>
      </c>
      <c r="B10" t="s">
        <v>553</v>
      </c>
      <c r="C10" s="14">
        <v>1000</v>
      </c>
      <c r="F10" t="s">
        <v>555</v>
      </c>
      <c r="G10" t="s">
        <v>553</v>
      </c>
      <c r="H10" s="14">
        <v>1000</v>
      </c>
      <c r="K10" t="s">
        <v>555</v>
      </c>
      <c r="L10" t="s">
        <v>553</v>
      </c>
      <c r="M10" s="14">
        <v>1000</v>
      </c>
    </row>
    <row r="11" spans="1:13" x14ac:dyDescent="0.2">
      <c r="A11" t="s">
        <v>556</v>
      </c>
      <c r="B11" t="s">
        <v>553</v>
      </c>
      <c r="C11" s="14">
        <v>6740</v>
      </c>
      <c r="F11" t="s">
        <v>556</v>
      </c>
      <c r="G11" t="s">
        <v>553</v>
      </c>
      <c r="H11" s="14">
        <v>6740</v>
      </c>
      <c r="K11" t="s">
        <v>556</v>
      </c>
      <c r="L11" t="s">
        <v>553</v>
      </c>
      <c r="M11" s="14">
        <v>6740</v>
      </c>
    </row>
    <row r="12" spans="1:13" x14ac:dyDescent="0.2">
      <c r="A12" t="s">
        <v>557</v>
      </c>
      <c r="B12" t="s">
        <v>553</v>
      </c>
      <c r="C12" s="14">
        <v>0</v>
      </c>
      <c r="F12" t="s">
        <v>557</v>
      </c>
      <c r="G12" t="s">
        <v>553</v>
      </c>
      <c r="H12" s="14">
        <v>1000</v>
      </c>
      <c r="K12" t="s">
        <v>557</v>
      </c>
      <c r="L12" t="s">
        <v>553</v>
      </c>
      <c r="M12" s="14">
        <v>1000</v>
      </c>
    </row>
    <row r="13" spans="1:13" x14ac:dyDescent="0.2">
      <c r="A13" t="s">
        <v>558</v>
      </c>
      <c r="B13" t="s">
        <v>553</v>
      </c>
      <c r="C13" s="14">
        <v>0</v>
      </c>
      <c r="F13" t="s">
        <v>558</v>
      </c>
      <c r="G13" t="s">
        <v>553</v>
      </c>
      <c r="H13" s="14">
        <v>4000</v>
      </c>
      <c r="K13" t="s">
        <v>558</v>
      </c>
      <c r="L13" t="s">
        <v>553</v>
      </c>
      <c r="M13" s="14">
        <v>4000</v>
      </c>
    </row>
    <row r="14" spans="1:13" ht="16" thickBot="1" x14ac:dyDescent="0.25">
      <c r="A14" t="s">
        <v>131</v>
      </c>
      <c r="B14" t="s">
        <v>553</v>
      </c>
      <c r="C14" s="14">
        <v>1750</v>
      </c>
      <c r="D14" s="16">
        <f>SUM(C8:C13)</f>
        <v>26060</v>
      </c>
      <c r="E14" t="s">
        <v>559</v>
      </c>
      <c r="F14" t="s">
        <v>131</v>
      </c>
      <c r="G14" t="s">
        <v>553</v>
      </c>
      <c r="H14" s="14">
        <v>2000</v>
      </c>
      <c r="I14" s="16">
        <f>SUM(H8:H13)</f>
        <v>39250</v>
      </c>
      <c r="J14" t="s">
        <v>559</v>
      </c>
      <c r="K14" t="s">
        <v>131</v>
      </c>
      <c r="L14" t="s">
        <v>553</v>
      </c>
      <c r="M14" s="14">
        <v>2000</v>
      </c>
    </row>
    <row r="15" spans="1:13" ht="16" thickBot="1" x14ac:dyDescent="0.25">
      <c r="A15" t="s">
        <v>560</v>
      </c>
      <c r="C15" s="117">
        <f>SUBTOTAL(109,Tabelle19[Höhe p.A.])</f>
        <v>93250</v>
      </c>
      <c r="F15" t="s">
        <v>560</v>
      </c>
      <c r="H15" s="117">
        <f>SUBTOTAL(109,Tabelle1959[Höhe p.A.])</f>
        <v>106690</v>
      </c>
      <c r="K15" t="s">
        <v>560</v>
      </c>
      <c r="M15" s="117">
        <f>SUBTOTAL(109,Tabelle19595[Höhe p.A.])</f>
        <v>81680</v>
      </c>
    </row>
    <row r="18" spans="1:8" ht="16" x14ac:dyDescent="0.2">
      <c r="A18" s="7" t="s">
        <v>561</v>
      </c>
      <c r="H18">
        <v>148400</v>
      </c>
    </row>
    <row r="19" spans="1:8" x14ac:dyDescent="0.2">
      <c r="G19" t="s">
        <v>562</v>
      </c>
      <c r="H19">
        <v>-31800</v>
      </c>
    </row>
    <row r="20" spans="1:8" s="30" customFormat="1" x14ac:dyDescent="0.2">
      <c r="A20" s="30" t="s">
        <v>563</v>
      </c>
      <c r="B20" s="30" t="s">
        <v>564</v>
      </c>
      <c r="C20" s="30" t="s">
        <v>565</v>
      </c>
      <c r="D20" s="30" t="s">
        <v>566</v>
      </c>
      <c r="H20" s="30">
        <f>SUM(H18:H19)</f>
        <v>116600</v>
      </c>
    </row>
    <row r="21" spans="1:8" x14ac:dyDescent="0.2">
      <c r="A21" t="s">
        <v>567</v>
      </c>
      <c r="B21" s="14">
        <v>3360</v>
      </c>
      <c r="C21">
        <v>3</v>
      </c>
      <c r="D21" s="14">
        <f>B21*C21</f>
        <v>10080</v>
      </c>
      <c r="H21">
        <f>-Tabelle1959[[#Totals],[Höhe p.A.]]</f>
        <v>-106690</v>
      </c>
    </row>
    <row r="22" spans="1:8" x14ac:dyDescent="0.2">
      <c r="A22" t="s">
        <v>568</v>
      </c>
      <c r="B22" s="14">
        <v>2310</v>
      </c>
      <c r="C22">
        <v>3</v>
      </c>
      <c r="D22" s="14">
        <f>B22*C22</f>
        <v>6930</v>
      </c>
      <c r="H22">
        <f>SUM(H20:H21)</f>
        <v>9910</v>
      </c>
    </row>
    <row r="23" spans="1:8" x14ac:dyDescent="0.2">
      <c r="A23" t="s">
        <v>569</v>
      </c>
      <c r="B23" s="14"/>
      <c r="D23" s="14">
        <v>8000</v>
      </c>
    </row>
    <row r="24" spans="1:8" x14ac:dyDescent="0.2">
      <c r="B24" s="14"/>
      <c r="D24" s="14"/>
    </row>
    <row r="25" spans="1:8" x14ac:dyDescent="0.2">
      <c r="A25" t="s">
        <v>570</v>
      </c>
      <c r="B25" s="14">
        <v>800</v>
      </c>
      <c r="C25">
        <v>3</v>
      </c>
      <c r="D25" s="14">
        <f>B25*C25</f>
        <v>2400</v>
      </c>
    </row>
    <row r="26" spans="1:8" x14ac:dyDescent="0.2">
      <c r="A26" t="s">
        <v>568</v>
      </c>
      <c r="B26" s="14">
        <v>250</v>
      </c>
      <c r="C26">
        <v>3</v>
      </c>
      <c r="D26" s="14">
        <f>B26*C26</f>
        <v>750</v>
      </c>
    </row>
    <row r="27" spans="1:8" x14ac:dyDescent="0.2">
      <c r="A27" t="s">
        <v>571</v>
      </c>
      <c r="B27" s="14">
        <v>800</v>
      </c>
      <c r="C27">
        <v>4</v>
      </c>
      <c r="D27" s="14">
        <f>Tabelle20[[#This Row],[AE]]*Tabelle20[[#This Row],[Anzahl]]</f>
        <v>3200</v>
      </c>
    </row>
    <row r="28" spans="1:8" x14ac:dyDescent="0.2">
      <c r="A28" t="s">
        <v>572</v>
      </c>
      <c r="B28" s="14"/>
      <c r="D28" s="14">
        <v>1000</v>
      </c>
    </row>
    <row r="29" spans="1:8" x14ac:dyDescent="0.2">
      <c r="B29" s="14"/>
      <c r="D29" s="14"/>
    </row>
    <row r="30" spans="1:8" x14ac:dyDescent="0.2">
      <c r="A30" t="s">
        <v>573</v>
      </c>
      <c r="B30" s="14">
        <v>700</v>
      </c>
      <c r="C30">
        <v>3</v>
      </c>
      <c r="D30" s="14">
        <f>B30*C30</f>
        <v>2100</v>
      </c>
    </row>
    <row r="31" spans="1:8" x14ac:dyDescent="0.2">
      <c r="A31" t="s">
        <v>568</v>
      </c>
      <c r="B31" s="14">
        <v>300</v>
      </c>
      <c r="C31">
        <v>3</v>
      </c>
      <c r="D31" s="14">
        <f>B31*C31</f>
        <v>900</v>
      </c>
    </row>
    <row r="32" spans="1:8" ht="16" thickBot="1" x14ac:dyDescent="0.25">
      <c r="B32" s="14"/>
      <c r="D32" s="14"/>
    </row>
    <row r="33" spans="1:4" ht="16" thickBot="1" x14ac:dyDescent="0.25">
      <c r="A33" t="s">
        <v>560</v>
      </c>
      <c r="D33" s="116">
        <f>SUBTOTAL(109,Tabelle20[Gesamt:])</f>
        <v>35360</v>
      </c>
    </row>
  </sheetData>
  <pageMargins left="0.7" right="0.7" top="0.78740157499999996" bottom="0.78740157499999996" header="0.3" footer="0.3"/>
  <pageSetup paperSize="9" orientation="portrait" verticalDpi="0" r:id="rId1"/>
  <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D212-B445-4180-9D65-737EAA13B270}">
  <sheetPr codeName="Tabelle13"/>
  <dimension ref="A1:K24"/>
  <sheetViews>
    <sheetView tabSelected="1" topLeftCell="A4" workbookViewId="0">
      <selection activeCell="J24" sqref="J24"/>
    </sheetView>
  </sheetViews>
  <sheetFormatPr baseColWidth="10" defaultColWidth="11.5" defaultRowHeight="15" x14ac:dyDescent="0.2"/>
  <cols>
    <col min="1" max="1" width="12.83203125" style="194" customWidth="1"/>
    <col min="2" max="2" width="24.83203125" style="215" customWidth="1"/>
    <col min="3" max="3" width="23.1640625" style="194" customWidth="1"/>
    <col min="4" max="4" width="17.1640625" style="216" customWidth="1"/>
    <col min="5" max="5" width="15.83203125" style="194" customWidth="1"/>
    <col min="7" max="7" width="11.6640625" customWidth="1"/>
    <col min="8" max="8" width="17.6640625" customWidth="1"/>
    <col min="9" max="9" width="23.33203125" customWidth="1"/>
    <col min="10" max="10" width="14.1640625" customWidth="1"/>
    <col min="11" max="11" width="14.83203125" customWidth="1"/>
  </cols>
  <sheetData>
    <row r="1" spans="1:11" ht="19" x14ac:dyDescent="0.25">
      <c r="A1" s="197" t="s">
        <v>576</v>
      </c>
    </row>
    <row r="3" spans="1:11" ht="16" x14ac:dyDescent="0.2">
      <c r="A3" s="217" t="s">
        <v>577</v>
      </c>
      <c r="G3" s="217" t="s">
        <v>1303</v>
      </c>
      <c r="H3" s="215"/>
      <c r="I3" s="194"/>
      <c r="J3" s="216"/>
      <c r="K3" s="194"/>
    </row>
    <row r="4" spans="1:11" x14ac:dyDescent="0.2">
      <c r="G4" s="194"/>
      <c r="H4" s="215"/>
      <c r="I4" s="194"/>
      <c r="J4" s="216"/>
      <c r="K4" s="194"/>
    </row>
    <row r="5" spans="1:11" ht="16" x14ac:dyDescent="0.2">
      <c r="A5" s="199" t="s">
        <v>578</v>
      </c>
      <c r="B5" s="218" t="s">
        <v>579</v>
      </c>
      <c r="C5" s="200" t="s">
        <v>580</v>
      </c>
      <c r="D5" s="219" t="s">
        <v>581</v>
      </c>
      <c r="E5" s="195" t="s">
        <v>582</v>
      </c>
      <c r="G5" s="199" t="s">
        <v>578</v>
      </c>
      <c r="H5" s="218" t="s">
        <v>579</v>
      </c>
      <c r="I5" s="200" t="s">
        <v>580</v>
      </c>
      <c r="J5" s="219" t="s">
        <v>581</v>
      </c>
      <c r="K5" s="195" t="s">
        <v>582</v>
      </c>
    </row>
    <row r="6" spans="1:11" ht="32" x14ac:dyDescent="0.2">
      <c r="A6" s="275">
        <v>1</v>
      </c>
      <c r="B6" s="220" t="s">
        <v>583</v>
      </c>
      <c r="C6" s="203" t="s">
        <v>584</v>
      </c>
      <c r="D6" s="221">
        <v>150</v>
      </c>
      <c r="E6" s="276"/>
      <c r="G6" s="275">
        <v>1</v>
      </c>
      <c r="H6" s="220" t="s">
        <v>583</v>
      </c>
      <c r="I6" s="203" t="s">
        <v>584</v>
      </c>
      <c r="J6" s="221">
        <v>150</v>
      </c>
      <c r="K6" s="276"/>
    </row>
    <row r="7" spans="1:11" ht="16" x14ac:dyDescent="0.2">
      <c r="A7" s="275">
        <v>2</v>
      </c>
      <c r="B7" s="220" t="s">
        <v>585</v>
      </c>
      <c r="C7" s="203" t="s">
        <v>586</v>
      </c>
      <c r="D7" s="221">
        <v>600</v>
      </c>
      <c r="E7" s="276"/>
      <c r="G7" s="275">
        <v>2</v>
      </c>
      <c r="H7" s="220" t="s">
        <v>585</v>
      </c>
      <c r="I7" s="203" t="s">
        <v>586</v>
      </c>
      <c r="J7" s="221">
        <v>600</v>
      </c>
      <c r="K7" s="276"/>
    </row>
    <row r="8" spans="1:11" ht="16" x14ac:dyDescent="0.2">
      <c r="A8" s="275">
        <v>3</v>
      </c>
      <c r="B8" s="220" t="s">
        <v>587</v>
      </c>
      <c r="C8" s="203" t="s">
        <v>588</v>
      </c>
      <c r="D8" s="221">
        <v>4200</v>
      </c>
      <c r="E8" s="276"/>
      <c r="G8" s="275">
        <v>3</v>
      </c>
      <c r="H8" s="220" t="s">
        <v>587</v>
      </c>
      <c r="I8" s="203" t="s">
        <v>588</v>
      </c>
      <c r="J8" s="221">
        <v>4200</v>
      </c>
      <c r="K8" s="276"/>
    </row>
    <row r="9" spans="1:11" x14ac:dyDescent="0.2">
      <c r="A9" s="275">
        <v>4</v>
      </c>
      <c r="B9" s="220"/>
      <c r="C9" s="203"/>
      <c r="D9" s="221">
        <v>0</v>
      </c>
      <c r="E9" s="276"/>
      <c r="G9" s="275">
        <v>4</v>
      </c>
      <c r="H9" s="220"/>
      <c r="I9" s="203"/>
      <c r="J9" s="221"/>
      <c r="K9" s="276"/>
    </row>
    <row r="10" spans="1:11" x14ac:dyDescent="0.2">
      <c r="A10" s="275">
        <v>5</v>
      </c>
      <c r="B10" s="220"/>
      <c r="C10" s="203"/>
      <c r="D10" s="221">
        <v>0</v>
      </c>
      <c r="E10" s="276"/>
      <c r="G10" s="275">
        <v>5</v>
      </c>
      <c r="H10" s="220"/>
      <c r="I10" s="203"/>
      <c r="J10" s="221">
        <v>0</v>
      </c>
      <c r="K10" s="276"/>
    </row>
    <row r="11" spans="1:11" ht="16" x14ac:dyDescent="0.2">
      <c r="A11" s="275">
        <v>6</v>
      </c>
      <c r="B11" s="220" t="s">
        <v>589</v>
      </c>
      <c r="C11" s="203"/>
      <c r="D11" s="221">
        <v>3000</v>
      </c>
      <c r="E11" s="276"/>
      <c r="G11" s="275">
        <v>6</v>
      </c>
      <c r="H11" s="220" t="s">
        <v>589</v>
      </c>
      <c r="I11" s="203"/>
      <c r="J11" s="221">
        <v>2500</v>
      </c>
      <c r="K11" s="276"/>
    </row>
    <row r="12" spans="1:11" x14ac:dyDescent="0.2">
      <c r="A12" s="201" t="s">
        <v>590</v>
      </c>
      <c r="B12" s="222"/>
      <c r="C12" s="223"/>
      <c r="D12" s="224">
        <f>SUBTOTAL(109,Tabelle16[Beträge/Budget])</f>
        <v>7950</v>
      </c>
      <c r="E12" s="202"/>
      <c r="G12" s="201" t="s">
        <v>590</v>
      </c>
      <c r="H12" s="222"/>
      <c r="I12" s="223"/>
      <c r="J12" s="224">
        <f>SUBTOTAL(109,Tabelle166[Beträge/Budget])</f>
        <v>7450</v>
      </c>
      <c r="K12" s="202"/>
    </row>
    <row r="13" spans="1:11" x14ac:dyDescent="0.2">
      <c r="G13" s="194"/>
      <c r="H13" s="215"/>
      <c r="I13" s="194"/>
      <c r="J13" s="216"/>
      <c r="K13" s="194"/>
    </row>
    <row r="14" spans="1:11" x14ac:dyDescent="0.2">
      <c r="G14" s="194"/>
      <c r="H14" s="215"/>
      <c r="I14" s="194"/>
      <c r="J14" s="216"/>
      <c r="K14" s="194"/>
    </row>
    <row r="15" spans="1:11" ht="16" x14ac:dyDescent="0.2">
      <c r="A15" s="217" t="s">
        <v>591</v>
      </c>
      <c r="G15" s="217" t="s">
        <v>1304</v>
      </c>
      <c r="H15" s="215"/>
      <c r="I15" s="194"/>
      <c r="J15" s="216"/>
      <c r="K15" s="194"/>
    </row>
    <row r="16" spans="1:11" x14ac:dyDescent="0.2">
      <c r="G16" s="194"/>
      <c r="H16" s="215"/>
      <c r="I16" s="194"/>
      <c r="J16" s="216"/>
      <c r="K16" s="194"/>
    </row>
    <row r="17" spans="1:11" ht="16" x14ac:dyDescent="0.2">
      <c r="A17" s="199" t="s">
        <v>592</v>
      </c>
      <c r="B17" s="218" t="s">
        <v>593</v>
      </c>
      <c r="C17" s="200" t="s">
        <v>594</v>
      </c>
      <c r="D17" s="219" t="s">
        <v>581</v>
      </c>
      <c r="E17" s="195" t="s">
        <v>582</v>
      </c>
      <c r="G17" s="199" t="s">
        <v>592</v>
      </c>
      <c r="H17" s="218" t="s">
        <v>593</v>
      </c>
      <c r="I17" s="200" t="s">
        <v>594</v>
      </c>
      <c r="J17" s="219" t="s">
        <v>581</v>
      </c>
      <c r="K17" s="195" t="s">
        <v>582</v>
      </c>
    </row>
    <row r="18" spans="1:11" ht="16" x14ac:dyDescent="0.2">
      <c r="A18" s="275">
        <v>1</v>
      </c>
      <c r="B18" s="220" t="s">
        <v>595</v>
      </c>
      <c r="C18" s="203" t="s">
        <v>588</v>
      </c>
      <c r="D18" s="221">
        <v>1000</v>
      </c>
      <c r="E18" s="276"/>
      <c r="G18" s="275">
        <v>1</v>
      </c>
      <c r="H18" s="220" t="s">
        <v>595</v>
      </c>
      <c r="I18" s="203" t="s">
        <v>588</v>
      </c>
      <c r="J18" s="221">
        <v>1000</v>
      </c>
      <c r="K18" s="276"/>
    </row>
    <row r="19" spans="1:11" ht="16" x14ac:dyDescent="0.2">
      <c r="A19" s="275">
        <v>2</v>
      </c>
      <c r="B19" s="220" t="s">
        <v>596</v>
      </c>
      <c r="C19" s="203" t="s">
        <v>588</v>
      </c>
      <c r="D19" s="221">
        <v>360</v>
      </c>
      <c r="E19" s="276"/>
      <c r="G19" s="275">
        <v>2</v>
      </c>
      <c r="H19" s="220" t="s">
        <v>596</v>
      </c>
      <c r="I19" s="203" t="s">
        <v>588</v>
      </c>
      <c r="J19" s="221">
        <v>360</v>
      </c>
      <c r="K19" s="276"/>
    </row>
    <row r="20" spans="1:11" ht="48" x14ac:dyDescent="0.2">
      <c r="A20" s="275">
        <v>3</v>
      </c>
      <c r="B20" s="220" t="s">
        <v>597</v>
      </c>
      <c r="C20" s="203" t="s">
        <v>598</v>
      </c>
      <c r="D20" s="221">
        <v>1000</v>
      </c>
      <c r="E20" s="276"/>
      <c r="G20" s="275">
        <v>3</v>
      </c>
      <c r="H20" s="220" t="s">
        <v>597</v>
      </c>
      <c r="I20" s="203" t="s">
        <v>598</v>
      </c>
      <c r="J20" s="221">
        <v>1000</v>
      </c>
      <c r="K20" s="865" t="s">
        <v>1305</v>
      </c>
    </row>
    <row r="21" spans="1:11" ht="32" x14ac:dyDescent="0.2">
      <c r="A21" s="275">
        <v>4</v>
      </c>
      <c r="B21" s="220" t="s">
        <v>599</v>
      </c>
      <c r="C21" s="203" t="s">
        <v>600</v>
      </c>
      <c r="D21" s="221">
        <v>440</v>
      </c>
      <c r="E21" s="276"/>
      <c r="G21" s="275">
        <v>4</v>
      </c>
      <c r="H21" s="220" t="s">
        <v>599</v>
      </c>
      <c r="I21" s="203" t="s">
        <v>600</v>
      </c>
      <c r="J21" s="221">
        <v>440</v>
      </c>
      <c r="K21" s="865"/>
    </row>
    <row r="22" spans="1:11" ht="16" x14ac:dyDescent="0.2">
      <c r="A22" s="275">
        <v>5</v>
      </c>
      <c r="B22" s="220" t="s">
        <v>601</v>
      </c>
      <c r="C22" s="203" t="s">
        <v>602</v>
      </c>
      <c r="D22" s="221">
        <v>280</v>
      </c>
      <c r="E22" s="276"/>
      <c r="G22" s="275">
        <v>5</v>
      </c>
      <c r="H22" s="220" t="s">
        <v>601</v>
      </c>
      <c r="I22" s="203" t="s">
        <v>602</v>
      </c>
      <c r="J22" s="221">
        <v>0</v>
      </c>
      <c r="K22" s="865" t="s">
        <v>1305</v>
      </c>
    </row>
    <row r="23" spans="1:11" ht="16" x14ac:dyDescent="0.2">
      <c r="A23" s="275">
        <v>6</v>
      </c>
      <c r="B23" s="220" t="s">
        <v>603</v>
      </c>
      <c r="C23" s="203"/>
      <c r="D23" s="221">
        <v>1000</v>
      </c>
      <c r="E23" s="276"/>
      <c r="G23" s="275">
        <v>6</v>
      </c>
      <c r="H23" s="220" t="s">
        <v>603</v>
      </c>
      <c r="I23" s="203"/>
      <c r="J23" s="221">
        <v>2500</v>
      </c>
      <c r="K23" s="276"/>
    </row>
    <row r="24" spans="1:11" x14ac:dyDescent="0.2">
      <c r="A24" s="201" t="s">
        <v>590</v>
      </c>
      <c r="B24" s="222"/>
      <c r="C24" s="223"/>
      <c r="D24" s="224">
        <f>SUBTOTAL(109,Tabelle17[Beträge/Budget])</f>
        <v>4080</v>
      </c>
      <c r="E24" s="202"/>
      <c r="G24" s="201" t="s">
        <v>590</v>
      </c>
      <c r="H24" s="866"/>
      <c r="I24" s="867"/>
      <c r="J24" s="868">
        <f>SUBTOTAL(109,Tabelle177[Beträge/Budget])</f>
        <v>5300</v>
      </c>
      <c r="K24" s="869"/>
    </row>
  </sheetData>
  <pageMargins left="0.7" right="0.7" top="0.78740157499999996" bottom="0.78740157499999996" header="0.3" footer="0.3"/>
  <pageSetup paperSize="9" orientation="portrait" verticalDpi="0" r:id="rId1"/>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F0B6-BB02-4E2F-A491-6AC30A8B9EC7}">
  <sheetPr codeName="Tabelle5"/>
  <dimension ref="A1:N38"/>
  <sheetViews>
    <sheetView topLeftCell="A17" zoomScaleNormal="100" workbookViewId="0">
      <selection activeCell="B33" sqref="B33"/>
    </sheetView>
  </sheetViews>
  <sheetFormatPr baseColWidth="10" defaultColWidth="11.5" defaultRowHeight="15" outlineLevelRow="1" x14ac:dyDescent="0.2"/>
  <cols>
    <col min="1" max="1" width="13.83203125" customWidth="1"/>
    <col min="2" max="2" width="17.5" customWidth="1"/>
    <col min="3" max="3" width="16.83203125" customWidth="1"/>
    <col min="4" max="4" width="25.5" customWidth="1"/>
    <col min="8" max="8" width="28.5" style="194" customWidth="1"/>
    <col min="9" max="9" width="27.6640625" style="194" customWidth="1"/>
    <col min="11" max="11" width="11.5" customWidth="1"/>
    <col min="13" max="13" width="28.5" style="194" customWidth="1"/>
    <col min="14" max="14" width="27.6640625" style="194" customWidth="1"/>
  </cols>
  <sheetData>
    <row r="1" spans="1:14" ht="16" x14ac:dyDescent="0.2">
      <c r="A1" s="7" t="s">
        <v>1306</v>
      </c>
      <c r="C1" s="194"/>
      <c r="D1" s="194"/>
      <c r="F1" s="7" t="s">
        <v>604</v>
      </c>
      <c r="K1" s="7" t="s">
        <v>605</v>
      </c>
    </row>
    <row r="2" spans="1:14" x14ac:dyDescent="0.2">
      <c r="C2" s="194"/>
      <c r="D2" s="194"/>
    </row>
    <row r="3" spans="1:14" x14ac:dyDescent="0.2">
      <c r="A3" s="6" t="s">
        <v>606</v>
      </c>
      <c r="C3" s="194"/>
      <c r="D3" s="194"/>
      <c r="F3" s="6" t="s">
        <v>606</v>
      </c>
      <c r="K3" s="6" t="s">
        <v>606</v>
      </c>
    </row>
    <row r="4" spans="1:14" x14ac:dyDescent="0.2">
      <c r="A4" s="32" t="s">
        <v>10</v>
      </c>
      <c r="B4" s="33" t="s">
        <v>607</v>
      </c>
      <c r="C4" s="200" t="s">
        <v>608</v>
      </c>
      <c r="D4" s="195" t="s">
        <v>609</v>
      </c>
      <c r="F4" s="32" t="s">
        <v>10</v>
      </c>
      <c r="G4" s="33" t="s">
        <v>607</v>
      </c>
      <c r="H4" s="200" t="s">
        <v>608</v>
      </c>
      <c r="I4" s="195" t="s">
        <v>609</v>
      </c>
      <c r="K4" s="32" t="s">
        <v>10</v>
      </c>
      <c r="L4" s="33" t="s">
        <v>607</v>
      </c>
      <c r="M4" s="200" t="s">
        <v>608</v>
      </c>
      <c r="N4" s="195" t="s">
        <v>609</v>
      </c>
    </row>
    <row r="5" spans="1:14" ht="32" outlineLevel="1" x14ac:dyDescent="0.2">
      <c r="A5" s="277">
        <v>1</v>
      </c>
      <c r="B5" s="269">
        <v>2500</v>
      </c>
      <c r="C5" s="220" t="s">
        <v>1360</v>
      </c>
      <c r="D5" s="278" t="s">
        <v>1361</v>
      </c>
      <c r="F5" s="277">
        <v>1</v>
      </c>
      <c r="G5" s="269">
        <v>1500</v>
      </c>
      <c r="H5" s="220" t="s">
        <v>610</v>
      </c>
      <c r="I5" s="278" t="s">
        <v>611</v>
      </c>
      <c r="K5" s="277">
        <v>1</v>
      </c>
      <c r="L5" s="269">
        <v>0</v>
      </c>
      <c r="M5" s="220"/>
      <c r="N5" s="278"/>
    </row>
    <row r="6" spans="1:14" ht="16" outlineLevel="1" x14ac:dyDescent="0.2">
      <c r="A6" s="277">
        <v>2</v>
      </c>
      <c r="B6" s="269">
        <v>4500</v>
      </c>
      <c r="C6" s="220" t="s">
        <v>612</v>
      </c>
      <c r="D6" s="278" t="s">
        <v>613</v>
      </c>
      <c r="F6" s="277">
        <v>2</v>
      </c>
      <c r="G6" s="269">
        <v>4500</v>
      </c>
      <c r="H6" s="220" t="s">
        <v>612</v>
      </c>
      <c r="I6" s="278" t="s">
        <v>613</v>
      </c>
      <c r="K6" s="277">
        <v>2</v>
      </c>
      <c r="L6" s="269">
        <v>0</v>
      </c>
      <c r="M6" s="220"/>
      <c r="N6" s="278"/>
    </row>
    <row r="7" spans="1:14" outlineLevel="1" x14ac:dyDescent="0.2">
      <c r="A7" s="34"/>
      <c r="B7" s="269"/>
      <c r="C7" s="220"/>
      <c r="D7" s="278"/>
      <c r="F7" s="34"/>
      <c r="G7" s="269"/>
      <c r="H7" s="220"/>
      <c r="I7" s="278"/>
      <c r="K7" s="34"/>
      <c r="L7" s="269"/>
      <c r="M7" s="220"/>
      <c r="N7" s="278"/>
    </row>
    <row r="8" spans="1:14" outlineLevel="1" x14ac:dyDescent="0.2">
      <c r="A8" s="34"/>
      <c r="B8" s="269"/>
      <c r="C8" s="220"/>
      <c r="D8" s="278"/>
      <c r="F8" s="34"/>
      <c r="G8" s="269"/>
      <c r="H8" s="220"/>
      <c r="I8" s="278"/>
      <c r="K8" s="34"/>
      <c r="L8" s="269"/>
      <c r="M8" s="220"/>
      <c r="N8" s="278"/>
    </row>
    <row r="9" spans="1:14" outlineLevel="1" x14ac:dyDescent="0.2">
      <c r="A9" s="34" t="s">
        <v>614</v>
      </c>
      <c r="B9" s="269">
        <v>1000</v>
      </c>
      <c r="C9" s="220"/>
      <c r="D9" s="278"/>
      <c r="F9" s="34" t="s">
        <v>614</v>
      </c>
      <c r="G9" s="269">
        <v>1000</v>
      </c>
      <c r="H9" s="220"/>
      <c r="I9" s="278"/>
      <c r="K9" s="34" t="s">
        <v>614</v>
      </c>
      <c r="L9" s="269">
        <v>700</v>
      </c>
      <c r="M9" s="220"/>
      <c r="N9" s="278"/>
    </row>
    <row r="10" spans="1:14" x14ac:dyDescent="0.2">
      <c r="A10" s="125" t="s">
        <v>590</v>
      </c>
      <c r="B10" s="270">
        <f>SUBTOTAL(109,Tabelle285319[Betrag])</f>
        <v>8000</v>
      </c>
      <c r="C10" s="223"/>
      <c r="D10" s="202">
        <f>SUBTOTAL(103,Tabelle285319[Begründung])</f>
        <v>2</v>
      </c>
      <c r="F10" s="125" t="s">
        <v>590</v>
      </c>
      <c r="G10" s="270">
        <f>SUBTOTAL(109,Tabelle2853[Betrag])</f>
        <v>7000</v>
      </c>
      <c r="H10" s="223"/>
      <c r="I10" s="202">
        <f>SUBTOTAL(103,Tabelle2853[Begründung])</f>
        <v>2</v>
      </c>
      <c r="K10" s="125" t="s">
        <v>590</v>
      </c>
      <c r="L10" s="270">
        <f>SUBTOTAL(109,Tabelle28[Betrag])</f>
        <v>700</v>
      </c>
      <c r="M10" s="223"/>
      <c r="N10" s="202">
        <f>SUBTOTAL(103,Tabelle28[Begründung])</f>
        <v>0</v>
      </c>
    </row>
    <row r="11" spans="1:14" x14ac:dyDescent="0.2">
      <c r="C11" s="194"/>
      <c r="D11" s="194"/>
    </row>
    <row r="12" spans="1:14" x14ac:dyDescent="0.2">
      <c r="A12" s="6" t="s">
        <v>228</v>
      </c>
      <c r="C12" s="194"/>
      <c r="D12" s="194"/>
      <c r="F12" s="6" t="s">
        <v>228</v>
      </c>
      <c r="K12" s="6" t="s">
        <v>615</v>
      </c>
    </row>
    <row r="13" spans="1:14" outlineLevel="1" x14ac:dyDescent="0.2">
      <c r="A13" s="32" t="s">
        <v>10</v>
      </c>
      <c r="B13" s="33" t="s">
        <v>607</v>
      </c>
      <c r="C13" s="200" t="s">
        <v>608</v>
      </c>
      <c r="D13" s="195" t="s">
        <v>609</v>
      </c>
      <c r="F13" s="32" t="s">
        <v>10</v>
      </c>
      <c r="G13" s="33" t="s">
        <v>607</v>
      </c>
      <c r="H13" s="200" t="s">
        <v>608</v>
      </c>
      <c r="I13" s="195" t="s">
        <v>609</v>
      </c>
      <c r="K13" s="32" t="s">
        <v>10</v>
      </c>
      <c r="L13" s="33" t="s">
        <v>607</v>
      </c>
      <c r="M13" s="200" t="s">
        <v>608</v>
      </c>
      <c r="N13" s="195" t="s">
        <v>609</v>
      </c>
    </row>
    <row r="14" spans="1:14" ht="62.25" customHeight="1" outlineLevel="1" x14ac:dyDescent="0.2">
      <c r="A14" s="277">
        <v>1</v>
      </c>
      <c r="B14" s="269">
        <v>2500</v>
      </c>
      <c r="C14" s="220" t="s">
        <v>616</v>
      </c>
      <c r="D14" s="278" t="s">
        <v>1307</v>
      </c>
      <c r="F14" s="277">
        <v>1</v>
      </c>
      <c r="G14" s="269">
        <v>2500</v>
      </c>
      <c r="H14" s="220" t="s">
        <v>616</v>
      </c>
      <c r="I14" s="278" t="s">
        <v>617</v>
      </c>
      <c r="K14" s="277">
        <v>1</v>
      </c>
      <c r="L14" s="269">
        <v>0</v>
      </c>
      <c r="M14" s="220"/>
      <c r="N14" s="278"/>
    </row>
    <row r="15" spans="1:14" ht="60.75" customHeight="1" outlineLevel="1" x14ac:dyDescent="0.2">
      <c r="A15" s="277">
        <v>2</v>
      </c>
      <c r="B15" s="269">
        <v>2500</v>
      </c>
      <c r="C15" s="220" t="s">
        <v>618</v>
      </c>
      <c r="D15" s="278" t="s">
        <v>1307</v>
      </c>
      <c r="F15" s="277">
        <v>2</v>
      </c>
      <c r="G15" s="269">
        <v>2500</v>
      </c>
      <c r="H15" s="220" t="s">
        <v>618</v>
      </c>
      <c r="I15" s="278" t="s">
        <v>617</v>
      </c>
      <c r="K15" s="277">
        <v>2</v>
      </c>
      <c r="L15" s="269">
        <v>0</v>
      </c>
      <c r="M15" s="220"/>
      <c r="N15" s="278"/>
    </row>
    <row r="16" spans="1:14" outlineLevel="1" x14ac:dyDescent="0.2">
      <c r="A16" s="34"/>
      <c r="B16" s="269"/>
      <c r="C16" s="220"/>
      <c r="D16" s="278"/>
      <c r="F16" s="34"/>
      <c r="G16" s="269"/>
      <c r="H16" s="220"/>
      <c r="I16" s="278"/>
      <c r="K16" s="34"/>
      <c r="L16" s="269"/>
      <c r="M16" s="220"/>
      <c r="N16" s="278"/>
    </row>
    <row r="17" spans="1:14" outlineLevel="1" x14ac:dyDescent="0.2">
      <c r="A17" s="34"/>
      <c r="B17" s="269"/>
      <c r="C17" s="220"/>
      <c r="D17" s="278"/>
      <c r="F17" s="34"/>
      <c r="G17" s="269"/>
      <c r="H17" s="220"/>
      <c r="I17" s="278"/>
      <c r="K17" s="34"/>
      <c r="L17" s="269"/>
      <c r="M17" s="220"/>
      <c r="N17" s="278"/>
    </row>
    <row r="18" spans="1:14" outlineLevel="1" x14ac:dyDescent="0.2">
      <c r="A18" s="34" t="s">
        <v>614</v>
      </c>
      <c r="B18" s="269">
        <v>500</v>
      </c>
      <c r="C18" s="220"/>
      <c r="D18" s="278"/>
      <c r="F18" s="34" t="s">
        <v>614</v>
      </c>
      <c r="G18" s="269">
        <v>500</v>
      </c>
      <c r="H18" s="220"/>
      <c r="I18" s="278"/>
      <c r="K18" s="34" t="s">
        <v>614</v>
      </c>
      <c r="L18" s="269">
        <v>500</v>
      </c>
      <c r="M18" s="220"/>
      <c r="N18" s="278"/>
    </row>
    <row r="19" spans="1:14" x14ac:dyDescent="0.2">
      <c r="A19" s="125" t="s">
        <v>590</v>
      </c>
      <c r="B19" s="870">
        <f>SUBTOTAL(109,Tabelle25212[Betrag])</f>
        <v>5500</v>
      </c>
      <c r="C19" s="867"/>
      <c r="D19" s="869">
        <f>SUBTOTAL(103,Tabelle25212[Begründung])</f>
        <v>2</v>
      </c>
      <c r="F19" s="125" t="s">
        <v>590</v>
      </c>
      <c r="G19" s="270">
        <f>SUBTOTAL(109,Tabelle252[Betrag])</f>
        <v>5500</v>
      </c>
      <c r="H19" s="223"/>
      <c r="I19" s="202">
        <f>SUBTOTAL(103,Tabelle252[Begründung])</f>
        <v>2</v>
      </c>
      <c r="K19" s="125" t="s">
        <v>590</v>
      </c>
      <c r="L19" s="270">
        <f>SUBTOTAL(109,Tabelle2[Betrag])</f>
        <v>500</v>
      </c>
      <c r="M19" s="223"/>
      <c r="N19" s="202">
        <f>SUBTOTAL(103,Tabelle2[Begründung])</f>
        <v>0</v>
      </c>
    </row>
    <row r="20" spans="1:14" x14ac:dyDescent="0.2">
      <c r="C20" s="194"/>
      <c r="D20" s="194"/>
    </row>
    <row r="21" spans="1:14" x14ac:dyDescent="0.2">
      <c r="A21" s="6" t="s">
        <v>231</v>
      </c>
      <c r="C21" s="194"/>
      <c r="D21" s="194"/>
      <c r="F21" s="6" t="s">
        <v>231</v>
      </c>
      <c r="K21" s="6" t="s">
        <v>231</v>
      </c>
    </row>
    <row r="22" spans="1:14" x14ac:dyDescent="0.2">
      <c r="A22" s="32" t="s">
        <v>10</v>
      </c>
      <c r="B22" s="33" t="s">
        <v>607</v>
      </c>
      <c r="C22" s="200" t="s">
        <v>608</v>
      </c>
      <c r="D22" s="195" t="s">
        <v>609</v>
      </c>
      <c r="F22" s="32" t="s">
        <v>10</v>
      </c>
      <c r="G22" s="33" t="s">
        <v>607</v>
      </c>
      <c r="H22" s="200" t="s">
        <v>608</v>
      </c>
      <c r="I22" s="195" t="s">
        <v>609</v>
      </c>
      <c r="K22" s="32" t="s">
        <v>10</v>
      </c>
      <c r="L22" s="33" t="s">
        <v>607</v>
      </c>
      <c r="M22" s="200" t="s">
        <v>608</v>
      </c>
      <c r="N22" s="195" t="s">
        <v>609</v>
      </c>
    </row>
    <row r="23" spans="1:14" ht="29.25" customHeight="1" outlineLevel="1" x14ac:dyDescent="0.2">
      <c r="A23" s="277">
        <v>1</v>
      </c>
      <c r="B23" s="269">
        <v>500</v>
      </c>
      <c r="C23" s="220" t="s">
        <v>619</v>
      </c>
      <c r="D23" s="278" t="s">
        <v>1261</v>
      </c>
      <c r="F23" s="277">
        <v>1</v>
      </c>
      <c r="G23" s="269">
        <v>500</v>
      </c>
      <c r="H23" s="220" t="s">
        <v>619</v>
      </c>
      <c r="I23" s="278" t="s">
        <v>1261</v>
      </c>
      <c r="K23" s="277">
        <v>1</v>
      </c>
      <c r="L23" s="269">
        <v>500</v>
      </c>
      <c r="M23" s="220" t="s">
        <v>619</v>
      </c>
      <c r="N23" s="278"/>
    </row>
    <row r="24" spans="1:14" outlineLevel="1" x14ac:dyDescent="0.2">
      <c r="A24" s="277">
        <v>2</v>
      </c>
      <c r="B24" s="269"/>
      <c r="C24" s="220"/>
      <c r="D24" s="278"/>
      <c r="F24" s="277">
        <v>2</v>
      </c>
      <c r="G24" s="269"/>
      <c r="H24" s="220"/>
      <c r="I24" s="278"/>
      <c r="K24" s="277">
        <v>2</v>
      </c>
      <c r="L24" s="269">
        <v>0</v>
      </c>
      <c r="M24" s="220"/>
      <c r="N24" s="278"/>
    </row>
    <row r="25" spans="1:14" outlineLevel="1" x14ac:dyDescent="0.2">
      <c r="A25" s="34"/>
      <c r="B25" s="269"/>
      <c r="C25" s="220"/>
      <c r="D25" s="278"/>
      <c r="F25" s="34"/>
      <c r="G25" s="269"/>
      <c r="H25" s="220"/>
      <c r="I25" s="278"/>
      <c r="K25" s="34"/>
      <c r="L25" s="269"/>
      <c r="M25" s="220"/>
      <c r="N25" s="278"/>
    </row>
    <row r="26" spans="1:14" outlineLevel="1" x14ac:dyDescent="0.2">
      <c r="A26" s="34"/>
      <c r="B26" s="269"/>
      <c r="C26" s="220"/>
      <c r="D26" s="278"/>
      <c r="F26" s="34"/>
      <c r="G26" s="269"/>
      <c r="H26" s="220"/>
      <c r="I26" s="278"/>
      <c r="K26" s="34"/>
      <c r="L26" s="269"/>
      <c r="M26" s="220"/>
      <c r="N26" s="278"/>
    </row>
    <row r="27" spans="1:14" outlineLevel="1" x14ac:dyDescent="0.2">
      <c r="A27" s="34" t="s">
        <v>614</v>
      </c>
      <c r="B27" s="269">
        <v>0</v>
      </c>
      <c r="C27" s="220"/>
      <c r="D27" s="278"/>
      <c r="F27" s="34" t="s">
        <v>614</v>
      </c>
      <c r="G27" s="269">
        <v>0</v>
      </c>
      <c r="H27" s="220"/>
      <c r="I27" s="278"/>
      <c r="K27" s="34" t="s">
        <v>614</v>
      </c>
      <c r="L27" s="269">
        <v>0</v>
      </c>
      <c r="M27" s="220"/>
      <c r="N27" s="278"/>
    </row>
    <row r="28" spans="1:14" x14ac:dyDescent="0.2">
      <c r="A28" s="125" t="s">
        <v>590</v>
      </c>
      <c r="B28" s="270">
        <f>SUBTOTAL(109,Tabelle21112165635[Betrag])</f>
        <v>500</v>
      </c>
      <c r="C28" s="223"/>
      <c r="D28" s="202">
        <f>SUBTOTAL(103,Tabelle21112165635[Begründung])</f>
        <v>1</v>
      </c>
      <c r="F28" s="125" t="s">
        <v>590</v>
      </c>
      <c r="G28" s="270">
        <f>SUBTOTAL(109,Tabelle211121656[Betrag])</f>
        <v>500</v>
      </c>
      <c r="H28" s="223"/>
      <c r="I28" s="202">
        <f>SUBTOTAL(103,Tabelle211121656[Begründung])</f>
        <v>1</v>
      </c>
      <c r="K28" s="125" t="s">
        <v>590</v>
      </c>
      <c r="L28" s="270">
        <f>SUBTOTAL(109,Tabelle2111216[Betrag])</f>
        <v>500</v>
      </c>
      <c r="M28" s="223"/>
      <c r="N28" s="202">
        <f>SUBTOTAL(103,Tabelle2111216[Begründung])</f>
        <v>0</v>
      </c>
    </row>
    <row r="29" spans="1:14" x14ac:dyDescent="0.2">
      <c r="C29" s="194"/>
      <c r="D29" s="194"/>
    </row>
    <row r="30" spans="1:14" x14ac:dyDescent="0.2">
      <c r="C30" s="194"/>
      <c r="D30" s="194"/>
    </row>
    <row r="31" spans="1:14" x14ac:dyDescent="0.2">
      <c r="A31" s="6" t="s">
        <v>620</v>
      </c>
      <c r="C31" s="194"/>
      <c r="D31" s="194"/>
      <c r="F31" s="6" t="s">
        <v>620</v>
      </c>
      <c r="K31" s="6" t="s">
        <v>620</v>
      </c>
    </row>
    <row r="32" spans="1:14" x14ac:dyDescent="0.2">
      <c r="A32" s="32" t="s">
        <v>10</v>
      </c>
      <c r="B32" s="33" t="s">
        <v>607</v>
      </c>
      <c r="C32" s="200" t="s">
        <v>608</v>
      </c>
      <c r="D32" s="195" t="s">
        <v>609</v>
      </c>
      <c r="F32" s="32" t="s">
        <v>10</v>
      </c>
      <c r="G32" s="33" t="s">
        <v>607</v>
      </c>
      <c r="H32" s="200" t="s">
        <v>608</v>
      </c>
      <c r="I32" s="195" t="s">
        <v>609</v>
      </c>
      <c r="K32" s="32" t="s">
        <v>10</v>
      </c>
      <c r="L32" s="33" t="s">
        <v>607</v>
      </c>
      <c r="M32" s="200" t="s">
        <v>608</v>
      </c>
      <c r="N32" s="195" t="s">
        <v>609</v>
      </c>
    </row>
    <row r="33" spans="1:14" ht="132" customHeight="1" x14ac:dyDescent="0.2">
      <c r="A33" s="277">
        <v>1</v>
      </c>
      <c r="B33" s="269">
        <v>45000</v>
      </c>
      <c r="C33" s="220" t="s">
        <v>621</v>
      </c>
      <c r="D33" s="278" t="s">
        <v>1262</v>
      </c>
      <c r="F33" s="277">
        <v>1</v>
      </c>
      <c r="G33" s="269">
        <v>45507.83</v>
      </c>
      <c r="H33" s="220" t="s">
        <v>621</v>
      </c>
      <c r="I33" s="278" t="s">
        <v>1262</v>
      </c>
      <c r="K33" s="277">
        <v>1</v>
      </c>
      <c r="L33" s="269">
        <v>2000</v>
      </c>
      <c r="M33" s="220"/>
      <c r="N33" s="278"/>
    </row>
    <row r="34" spans="1:14" ht="32" x14ac:dyDescent="0.2">
      <c r="A34" s="34">
        <v>2</v>
      </c>
      <c r="B34" s="269">
        <v>155000</v>
      </c>
      <c r="C34" s="220"/>
      <c r="D34" s="626" t="s">
        <v>1308</v>
      </c>
      <c r="F34" s="34">
        <v>2</v>
      </c>
      <c r="G34" s="269">
        <v>8000</v>
      </c>
      <c r="H34" s="220" t="s">
        <v>622</v>
      </c>
      <c r="I34" s="626" t="s">
        <v>623</v>
      </c>
      <c r="K34" s="277">
        <v>2</v>
      </c>
      <c r="L34" s="269">
        <v>3000</v>
      </c>
      <c r="M34" s="220"/>
      <c r="N34" s="278"/>
    </row>
    <row r="35" spans="1:14" ht="32" x14ac:dyDescent="0.2">
      <c r="A35" s="34">
        <v>3</v>
      </c>
      <c r="B35" s="269"/>
      <c r="C35" s="220"/>
      <c r="D35" s="278"/>
      <c r="F35" s="34">
        <v>3</v>
      </c>
      <c r="G35" s="269">
        <v>25000</v>
      </c>
      <c r="H35" s="220" t="s">
        <v>624</v>
      </c>
      <c r="I35" s="278" t="s">
        <v>1260</v>
      </c>
      <c r="K35" s="34"/>
      <c r="L35" s="269"/>
      <c r="M35" s="220"/>
      <c r="N35" s="278"/>
    </row>
    <row r="36" spans="1:14" x14ac:dyDescent="0.2">
      <c r="A36" s="34" t="s">
        <v>614</v>
      </c>
      <c r="B36" s="269">
        <v>0</v>
      </c>
      <c r="C36" s="220"/>
      <c r="D36" s="278"/>
      <c r="F36" s="34" t="s">
        <v>614</v>
      </c>
      <c r="G36" s="269">
        <v>0</v>
      </c>
      <c r="H36" s="220"/>
      <c r="I36" s="278"/>
      <c r="K36" s="34"/>
      <c r="L36" s="269"/>
      <c r="M36" s="220"/>
      <c r="N36" s="278"/>
    </row>
    <row r="37" spans="1:14" x14ac:dyDescent="0.2">
      <c r="A37" s="125" t="s">
        <v>590</v>
      </c>
      <c r="B37" s="270">
        <f>SUBTOTAL(109,Tabelle21112395736[Betrag])</f>
        <v>200000</v>
      </c>
      <c r="C37" s="223"/>
      <c r="D37" s="202">
        <f>SUBTOTAL(103,Tabelle21112395736[Begründung])</f>
        <v>2</v>
      </c>
      <c r="F37" s="125" t="s">
        <v>590</v>
      </c>
      <c r="G37" s="270">
        <f>SUBTOTAL(109,Tabelle211123957[Betrag])</f>
        <v>78507.83</v>
      </c>
      <c r="H37" s="223"/>
      <c r="I37" s="202">
        <f>SUBTOTAL(103,Tabelle211123957[Begründung])</f>
        <v>3</v>
      </c>
      <c r="K37" s="34" t="s">
        <v>614</v>
      </c>
      <c r="L37" s="269">
        <v>1000</v>
      </c>
      <c r="M37" s="220"/>
      <c r="N37" s="278"/>
    </row>
    <row r="38" spans="1:14" x14ac:dyDescent="0.2">
      <c r="K38" s="125" t="s">
        <v>590</v>
      </c>
      <c r="L38" s="270">
        <f>SUBTOTAL(109,Tabelle2111239[Betrag])</f>
        <v>6000</v>
      </c>
      <c r="M38" s="223"/>
      <c r="N38" s="202">
        <f>SUBTOTAL(103,Tabelle2111239[Begründung])</f>
        <v>0</v>
      </c>
    </row>
  </sheetData>
  <pageMargins left="0.7" right="0.7" top="0.78740157499999996" bottom="0.78740157499999996" header="0.3" footer="0.3"/>
  <pageSetup paperSize="9" orientation="portrait" verticalDpi="0"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14A77-C4AE-4963-92E4-A8174374C74C}">
  <dimension ref="A1:AF85"/>
  <sheetViews>
    <sheetView showGridLines="0" zoomScale="75" zoomScaleNormal="75" workbookViewId="0">
      <selection activeCell="F20" sqref="F20"/>
    </sheetView>
  </sheetViews>
  <sheetFormatPr baseColWidth="10" defaultColWidth="11.5" defaultRowHeight="15" outlineLevelRow="2" x14ac:dyDescent="0.2"/>
  <cols>
    <col min="1" max="1" width="10.33203125" customWidth="1"/>
    <col min="2" max="2" width="29.33203125" customWidth="1"/>
    <col min="3" max="3" width="16.5" customWidth="1"/>
    <col min="4" max="4" width="15.83203125" customWidth="1"/>
    <col min="5" max="5" width="16" customWidth="1"/>
    <col min="6" max="6" width="18.33203125" customWidth="1"/>
    <col min="7" max="7" width="12.83203125" customWidth="1"/>
    <col min="8" max="8" width="13.33203125" customWidth="1"/>
    <col min="9" max="9" width="16.6640625" customWidth="1"/>
    <col min="10" max="10" width="13.5" customWidth="1"/>
    <col min="11" max="11" width="12" customWidth="1"/>
    <col min="12" max="12" width="13.5" customWidth="1"/>
    <col min="13" max="13" width="11.5" customWidth="1"/>
    <col min="14" max="14" width="23" customWidth="1"/>
    <col min="15" max="15" width="14.6640625" customWidth="1"/>
  </cols>
  <sheetData>
    <row r="1" spans="1:12" ht="19" x14ac:dyDescent="0.25">
      <c r="A1" s="11"/>
      <c r="B1" s="7" t="s">
        <v>700</v>
      </c>
    </row>
    <row r="2" spans="1:12" ht="19.5" customHeight="1" thickBot="1" x14ac:dyDescent="0.25"/>
    <row r="3" spans="1:12" s="213" customFormat="1" ht="34.5" customHeight="1" thickBot="1" x14ac:dyDescent="0.25">
      <c r="A3" s="207" t="s">
        <v>1</v>
      </c>
      <c r="B3" s="310" t="s">
        <v>4</v>
      </c>
      <c r="C3" s="311" t="s">
        <v>701</v>
      </c>
      <c r="D3" s="332" t="s">
        <v>702</v>
      </c>
      <c r="E3" s="927" t="s">
        <v>1333</v>
      </c>
      <c r="F3" s="909" t="s">
        <v>1335</v>
      </c>
      <c r="G3" s="208" t="s">
        <v>703</v>
      </c>
      <c r="H3" s="909" t="s">
        <v>1334</v>
      </c>
      <c r="I3" s="210" t="s">
        <v>705</v>
      </c>
      <c r="J3" s="211" t="s">
        <v>7</v>
      </c>
      <c r="K3" s="212" t="s">
        <v>706</v>
      </c>
      <c r="L3" s="611" t="s">
        <v>707</v>
      </c>
    </row>
    <row r="4" spans="1:12" ht="18.75" customHeight="1" x14ac:dyDescent="0.2">
      <c r="A4" s="171" t="s">
        <v>708</v>
      </c>
      <c r="B4" s="153"/>
      <c r="C4" s="153"/>
      <c r="D4" s="153"/>
      <c r="E4" s="26"/>
      <c r="F4" s="928"/>
      <c r="G4" s="911"/>
      <c r="H4" s="911"/>
      <c r="I4" s="902"/>
      <c r="J4" s="154"/>
      <c r="K4" s="36"/>
      <c r="L4" s="66"/>
    </row>
    <row r="5" spans="1:12" x14ac:dyDescent="0.2">
      <c r="A5" s="155" t="s">
        <v>69</v>
      </c>
      <c r="B5" s="190" t="s">
        <v>633</v>
      </c>
      <c r="C5" s="126"/>
      <c r="D5" s="126"/>
      <c r="E5" s="150">
        <v>46150</v>
      </c>
      <c r="F5" s="940">
        <v>46150</v>
      </c>
      <c r="G5" s="923">
        <v>56381</v>
      </c>
      <c r="H5" s="912">
        <f>Tabelle4[[#Totals],[Teilnahmebeiträge Fachseminare]]</f>
        <v>56381</v>
      </c>
      <c r="I5" s="903">
        <v>23000</v>
      </c>
      <c r="J5" s="656">
        <v>37605</v>
      </c>
      <c r="K5" s="156"/>
      <c r="L5" s="126"/>
    </row>
    <row r="6" spans="1:12" x14ac:dyDescent="0.2">
      <c r="A6" s="155" t="s">
        <v>83</v>
      </c>
      <c r="B6" s="190" t="s">
        <v>634</v>
      </c>
      <c r="C6" s="126"/>
      <c r="D6" s="126"/>
      <c r="E6" s="150">
        <v>0</v>
      </c>
      <c r="F6" s="940">
        <v>0</v>
      </c>
      <c r="G6" s="923">
        <v>0</v>
      </c>
      <c r="H6" s="912">
        <f>Tabelle4[[#Totals],[Teilnahmebeiträge Veranstaltungen]]+Tabelle5[[#Totals],[Teilnahmebeiträge Veranstaltungen]]</f>
        <v>0</v>
      </c>
      <c r="I6" s="903">
        <v>0</v>
      </c>
      <c r="J6" s="656">
        <v>0</v>
      </c>
      <c r="K6" s="156"/>
      <c r="L6" s="126"/>
    </row>
    <row r="7" spans="1:12" ht="16" thickBot="1" x14ac:dyDescent="0.25">
      <c r="A7" s="155" t="s">
        <v>90</v>
      </c>
      <c r="B7" s="190" t="s">
        <v>709</v>
      </c>
      <c r="C7" s="126"/>
      <c r="D7" s="126"/>
      <c r="E7" s="150">
        <v>0</v>
      </c>
      <c r="F7" s="940">
        <v>0</v>
      </c>
      <c r="G7" s="923">
        <v>0</v>
      </c>
      <c r="H7" s="913">
        <f>Tabelle4[[#Totals],[Sonstige Einnahmen]]+Tabelle5[[#Totals],[Sonstige Einnahmen]]</f>
        <v>0</v>
      </c>
      <c r="I7" s="903">
        <v>0</v>
      </c>
      <c r="J7" s="656">
        <v>0</v>
      </c>
      <c r="K7" s="156"/>
      <c r="L7" s="126"/>
    </row>
    <row r="8" spans="1:12" ht="16" thickBot="1" x14ac:dyDescent="0.25">
      <c r="A8" s="157"/>
      <c r="B8" s="158"/>
      <c r="C8" s="158"/>
      <c r="D8" s="158" t="s">
        <v>566</v>
      </c>
      <c r="E8" s="147">
        <f t="shared" ref="E8:F8" si="0">SUBTOTAL(9,E5:E7)</f>
        <v>46150</v>
      </c>
      <c r="F8" s="930">
        <f t="shared" si="0"/>
        <v>46150</v>
      </c>
      <c r="G8" s="904">
        <f>SUBTOTAL(9,G5:G7)</f>
        <v>56381</v>
      </c>
      <c r="H8" s="914">
        <f>SUBTOTAL(9,H5:H7)</f>
        <v>56381</v>
      </c>
      <c r="I8" s="904">
        <f>SUBTOTAL(9,I5:I7)</f>
        <v>23000</v>
      </c>
      <c r="J8" s="147">
        <f>SUBTOTAL(9,J5:J7)</f>
        <v>37605</v>
      </c>
      <c r="K8" s="159"/>
      <c r="L8" s="603"/>
    </row>
    <row r="9" spans="1:12" ht="18.75" customHeight="1" x14ac:dyDescent="0.2">
      <c r="A9" s="160" t="s">
        <v>119</v>
      </c>
      <c r="B9" s="161"/>
      <c r="C9" s="161"/>
      <c r="D9" s="161"/>
      <c r="E9" s="931"/>
      <c r="F9" s="932"/>
      <c r="G9" s="905"/>
      <c r="H9" s="915"/>
      <c r="I9" s="905"/>
      <c r="J9" s="161"/>
      <c r="K9" s="162"/>
      <c r="L9" s="126"/>
    </row>
    <row r="10" spans="1:12" x14ac:dyDescent="0.2">
      <c r="A10" s="163" t="s">
        <v>134</v>
      </c>
      <c r="B10" s="126" t="s">
        <v>710</v>
      </c>
      <c r="C10" s="126"/>
      <c r="D10" s="126"/>
      <c r="E10" s="933">
        <v>9600</v>
      </c>
      <c r="F10" s="916">
        <f>800*12</f>
        <v>9600</v>
      </c>
      <c r="G10" s="924">
        <v>9600</v>
      </c>
      <c r="H10" s="916">
        <f>800*12</f>
        <v>9600</v>
      </c>
      <c r="I10" s="906">
        <f>800*12</f>
        <v>9600</v>
      </c>
      <c r="J10" s="656">
        <v>9453.33</v>
      </c>
      <c r="K10" s="156"/>
      <c r="L10" s="126"/>
    </row>
    <row r="11" spans="1:12" x14ac:dyDescent="0.2">
      <c r="A11" s="163" t="s">
        <v>136</v>
      </c>
      <c r="B11" s="190" t="s">
        <v>711</v>
      </c>
      <c r="C11" s="126"/>
      <c r="D11" s="126"/>
      <c r="E11" s="933">
        <v>8600</v>
      </c>
      <c r="F11" s="938">
        <f>Tabelle647[[#Totals],[Aufwandsentschädigungen]]</f>
        <v>8600</v>
      </c>
      <c r="G11" s="923">
        <v>8600</v>
      </c>
      <c r="H11" s="912">
        <f>Tabelle6[[#Totals],[Aufwandsentschädigungen]]</f>
        <v>8600</v>
      </c>
      <c r="I11" s="903">
        <v>10400</v>
      </c>
      <c r="J11" s="656">
        <v>5830</v>
      </c>
      <c r="K11" s="156"/>
      <c r="L11" s="126"/>
    </row>
    <row r="12" spans="1:12" x14ac:dyDescent="0.2">
      <c r="A12" s="163" t="s">
        <v>712</v>
      </c>
      <c r="B12" s="190" t="s">
        <v>713</v>
      </c>
      <c r="C12" s="126"/>
      <c r="D12" s="126"/>
      <c r="E12" s="933">
        <v>15000</v>
      </c>
      <c r="F12" s="938">
        <f>Tabelle647[[#Totals],[Interne Reisekosten]]</f>
        <v>15000</v>
      </c>
      <c r="G12" s="923">
        <v>15000</v>
      </c>
      <c r="H12" s="912">
        <f>Tabelle6[[#Totals],[Interne Reisekosten]]</f>
        <v>14800</v>
      </c>
      <c r="I12" s="903">
        <v>14000</v>
      </c>
      <c r="J12" s="656">
        <v>8591.16</v>
      </c>
      <c r="K12" s="156"/>
      <c r="L12" s="126"/>
    </row>
    <row r="13" spans="1:12" ht="15" customHeight="1" x14ac:dyDescent="0.2">
      <c r="A13" s="163" t="s">
        <v>268</v>
      </c>
      <c r="B13" s="190" t="s">
        <v>714</v>
      </c>
      <c r="C13" s="164"/>
      <c r="D13" s="164"/>
      <c r="E13" s="934">
        <v>3000</v>
      </c>
      <c r="F13" s="938">
        <f>Tabelle647[[#Totals],[Raum + Unterkunft intern]]</f>
        <v>4452</v>
      </c>
      <c r="G13" s="923">
        <v>4200</v>
      </c>
      <c r="H13" s="917">
        <f>Tabelle6[[#Totals],[Raum + Unterkunft intern]]</f>
        <v>4452</v>
      </c>
      <c r="I13" s="903">
        <v>3000</v>
      </c>
      <c r="J13" s="657">
        <v>1120</v>
      </c>
      <c r="K13" s="165"/>
      <c r="L13" s="126"/>
    </row>
    <row r="14" spans="1:12" x14ac:dyDescent="0.2">
      <c r="A14" s="163" t="s">
        <v>294</v>
      </c>
      <c r="B14" s="192" t="s">
        <v>715</v>
      </c>
      <c r="C14" s="66"/>
      <c r="D14" s="66"/>
      <c r="E14" s="936">
        <v>2000</v>
      </c>
      <c r="F14" s="938">
        <f>Tabelle647[[#Totals],[Repräsentation/Bewirtung intern]]</f>
        <v>2000</v>
      </c>
      <c r="G14" s="923">
        <v>1000</v>
      </c>
      <c r="H14" s="918">
        <f>Tabelle6[[#Totals],[Repräsentation/Bewirtung intern]]</f>
        <v>920</v>
      </c>
      <c r="I14" s="903">
        <v>200</v>
      </c>
      <c r="J14" s="658">
        <v>118.19</v>
      </c>
      <c r="K14" s="166"/>
      <c r="L14" s="66"/>
    </row>
    <row r="15" spans="1:12" x14ac:dyDescent="0.2">
      <c r="A15" s="163" t="s">
        <v>340</v>
      </c>
      <c r="B15" s="190" t="s">
        <v>716</v>
      </c>
      <c r="C15" s="126"/>
      <c r="D15" s="126"/>
      <c r="E15" s="933">
        <v>40000</v>
      </c>
      <c r="F15" s="938">
        <f>Tabelle444[[#Totals],[Honorare Dozierende Fachseminare]]</f>
        <v>40000</v>
      </c>
      <c r="G15" s="923">
        <v>45600</v>
      </c>
      <c r="H15" s="912">
        <f>Tabelle4[[#Totals],[Honorare Dozierende Fachseminare]]</f>
        <v>45600</v>
      </c>
      <c r="I15" s="903">
        <f>45000*0.7</f>
        <v>31499.999999999996</v>
      </c>
      <c r="J15" s="656">
        <v>41821.25</v>
      </c>
      <c r="K15" s="156"/>
      <c r="L15" s="126"/>
    </row>
    <row r="16" spans="1:12" x14ac:dyDescent="0.2">
      <c r="A16" s="163" t="s">
        <v>351</v>
      </c>
      <c r="B16" s="191" t="s">
        <v>323</v>
      </c>
      <c r="C16" s="66"/>
      <c r="D16" s="66"/>
      <c r="E16" s="936">
        <v>1000</v>
      </c>
      <c r="F16" s="938">
        <f>Tabelle546[[#Totals],[Andere Honorare]]</f>
        <v>2000</v>
      </c>
      <c r="G16" s="923">
        <v>2000</v>
      </c>
      <c r="H16" s="919">
        <f>Tabelle5[[#Totals],[Andere Honorare]]</f>
        <v>1000</v>
      </c>
      <c r="I16" s="903">
        <f>45000*0.15</f>
        <v>6750</v>
      </c>
      <c r="J16" s="658">
        <v>0</v>
      </c>
      <c r="K16" s="166"/>
      <c r="L16" s="66"/>
    </row>
    <row r="17" spans="1:12" x14ac:dyDescent="0.2">
      <c r="A17" s="163" t="s">
        <v>362</v>
      </c>
      <c r="B17" s="191" t="s">
        <v>717</v>
      </c>
      <c r="C17" s="66"/>
      <c r="D17" s="66"/>
      <c r="E17" s="936">
        <v>500</v>
      </c>
      <c r="F17" s="938">
        <f>Tabelle444[[#Totals],[Externe Reisekosten]]</f>
        <v>500</v>
      </c>
      <c r="G17" s="923">
        <v>1100</v>
      </c>
      <c r="H17" s="920">
        <f>Tabelle4[[#Totals],[Externe Reisekosten]]</f>
        <v>1100</v>
      </c>
      <c r="I17" s="903">
        <f>45000*0.15</f>
        <v>6750</v>
      </c>
      <c r="J17" s="658">
        <v>0</v>
      </c>
      <c r="K17" s="166"/>
      <c r="L17" s="66"/>
    </row>
    <row r="18" spans="1:12" x14ac:dyDescent="0.2">
      <c r="A18" s="163" t="s">
        <v>369</v>
      </c>
      <c r="B18" s="191" t="s">
        <v>368</v>
      </c>
      <c r="C18" s="66"/>
      <c r="D18" s="66"/>
      <c r="E18" s="936">
        <v>500</v>
      </c>
      <c r="F18" s="938">
        <f>Tabelle444[[#Totals],[Repräsentation/Bewirtung extern]]+Tabelle5[[#Totals],[Repräsentation/Bewirtung extern]]</f>
        <v>460</v>
      </c>
      <c r="G18" s="923">
        <v>1500</v>
      </c>
      <c r="H18" s="920">
        <f>Tabelle4[[#Totals],[Repräsentation/Bewirtung extern]]+Tabelle5[[#Totals],[Repräsentation/Bewirtung extern]]</f>
        <v>1473</v>
      </c>
      <c r="I18" s="903">
        <v>2100</v>
      </c>
      <c r="J18" s="658">
        <v>0</v>
      </c>
      <c r="K18" s="166"/>
      <c r="L18" s="66"/>
    </row>
    <row r="19" spans="1:12" x14ac:dyDescent="0.2">
      <c r="A19" s="163" t="s">
        <v>381</v>
      </c>
      <c r="B19" s="191" t="s">
        <v>718</v>
      </c>
      <c r="C19" s="66"/>
      <c r="D19" s="66"/>
      <c r="E19" s="936">
        <v>500</v>
      </c>
      <c r="F19" s="938">
        <f>Tabelle444[[#Totals],[Raum + Unterkunft extern]]+Tabelle5[[#Totals],[Raum + Unterkunft extern]]</f>
        <v>500</v>
      </c>
      <c r="G19" s="923">
        <v>3000</v>
      </c>
      <c r="H19" s="920">
        <f>Tabelle4[[#Totals],[Raum + Unterkunft extern]]+Tabelle5[[#Totals],[Raum + Unterkunft extern]]</f>
        <v>3000</v>
      </c>
      <c r="I19" s="903">
        <v>4000</v>
      </c>
      <c r="J19" s="658">
        <v>0</v>
      </c>
      <c r="K19" s="166"/>
      <c r="L19" s="66"/>
    </row>
    <row r="20" spans="1:12" x14ac:dyDescent="0.2">
      <c r="A20" s="163" t="s">
        <v>391</v>
      </c>
      <c r="B20" s="192" t="s">
        <v>1213</v>
      </c>
      <c r="C20" s="66"/>
      <c r="D20" s="66"/>
      <c r="E20" s="936">
        <v>3500</v>
      </c>
      <c r="F20" s="938">
        <f>Tabelle444[[#Totals],[Verwaltungs- und Druckkosten]]+Tabelle5[[#Totals],[Druckkosten]]</f>
        <v>2340</v>
      </c>
      <c r="G20" s="923">
        <v>4000</v>
      </c>
      <c r="H20" s="920">
        <f>Tabelle4[[#Totals],[Verwaltungs- und Druckkosten]]+Tabelle5[[#Totals],[Druckkosten]]</f>
        <v>3618</v>
      </c>
      <c r="I20" s="903">
        <v>0</v>
      </c>
      <c r="J20" s="658">
        <v>0</v>
      </c>
      <c r="K20" s="166"/>
      <c r="L20" s="66"/>
    </row>
    <row r="21" spans="1:12" x14ac:dyDescent="0.2">
      <c r="A21" s="163" t="s">
        <v>403</v>
      </c>
      <c r="B21" s="192" t="s">
        <v>402</v>
      </c>
      <c r="C21" s="66"/>
      <c r="D21" s="66"/>
      <c r="E21" s="936">
        <v>2500</v>
      </c>
      <c r="F21" s="938">
        <f>Tabelle546[[#Totals],[Sonstige Kosten]]</f>
        <v>3380</v>
      </c>
      <c r="G21" s="923">
        <v>3400</v>
      </c>
      <c r="H21" s="918">
        <f>Tabelle5[[#Totals],[Sonstige Kosten]]</f>
        <v>2520</v>
      </c>
      <c r="I21" s="903">
        <v>4000</v>
      </c>
      <c r="J21" s="658">
        <v>2507.77</v>
      </c>
      <c r="K21" s="166"/>
      <c r="L21" s="66"/>
    </row>
    <row r="22" spans="1:12" ht="16" thickBot="1" x14ac:dyDescent="0.25">
      <c r="A22" s="163" t="s">
        <v>431</v>
      </c>
      <c r="B22" s="192" t="s">
        <v>658</v>
      </c>
      <c r="C22" s="66"/>
      <c r="D22" s="66"/>
      <c r="E22" s="936">
        <v>0</v>
      </c>
      <c r="F22" s="938">
        <f>Tabelle546[[#Totals],[Rechtsangelegenheiten]]</f>
        <v>500</v>
      </c>
      <c r="G22" s="925">
        <v>500</v>
      </c>
      <c r="H22" s="921">
        <f>Tabelle5[[#Totals],[Rechtsangelegenheiten]]</f>
        <v>600</v>
      </c>
      <c r="I22" s="907">
        <v>700</v>
      </c>
      <c r="J22" s="658">
        <v>0</v>
      </c>
      <c r="K22" s="166"/>
      <c r="L22" s="66"/>
    </row>
    <row r="23" spans="1:12" ht="16" thickBot="1" x14ac:dyDescent="0.25">
      <c r="A23" s="167"/>
      <c r="B23" s="168"/>
      <c r="C23" s="168"/>
      <c r="D23" s="169" t="s">
        <v>566</v>
      </c>
      <c r="E23" s="926">
        <f t="shared" ref="E23:F23" si="1">SUBTOTAL(109,E10:E22)</f>
        <v>86700</v>
      </c>
      <c r="F23" s="926">
        <f t="shared" si="1"/>
        <v>89332</v>
      </c>
      <c r="G23" s="926">
        <f>SUBTOTAL(109,G10:G22)</f>
        <v>99500</v>
      </c>
      <c r="H23" s="922">
        <f>SUBTOTAL(109,H10:H22)</f>
        <v>97283</v>
      </c>
      <c r="I23" s="908">
        <f>SUBTOTAL(109,I10:I22)</f>
        <v>93000</v>
      </c>
      <c r="J23" s="151">
        <f>SUBTOTAL(109,J10:J22)</f>
        <v>69441.7</v>
      </c>
      <c r="K23" s="170"/>
      <c r="L23" s="612"/>
    </row>
    <row r="24" spans="1:12" ht="16" thickBot="1" x14ac:dyDescent="0.25">
      <c r="A24" s="63"/>
      <c r="B24" s="62"/>
      <c r="C24" s="62"/>
      <c r="D24" s="62"/>
      <c r="E24" s="62"/>
      <c r="F24" s="62"/>
      <c r="G24" s="62"/>
      <c r="H24" s="62"/>
    </row>
    <row r="25" spans="1:12" ht="17" thickBot="1" x14ac:dyDescent="0.25">
      <c r="A25" s="63"/>
      <c r="B25" s="62"/>
      <c r="C25" s="62"/>
      <c r="D25" s="65" t="s">
        <v>719</v>
      </c>
      <c r="E25" s="941">
        <f>E8-Tabelle18[[#Totals],[Freie Eingabe HHHJ 23-24]]</f>
        <v>-40550</v>
      </c>
      <c r="F25" s="941">
        <f>F8-Tabelle18[[#Totals],[Rechnung HHJ 23-24]]</f>
        <v>-43182</v>
      </c>
      <c r="G25" s="175">
        <f>G8-Tabelle18[[#Totals],[Freie Eingabe Plan HHJ 22-23]]</f>
        <v>-43119</v>
      </c>
      <c r="H25" s="613">
        <f>H8-Tabelle18[[#Totals],[Rechnung HHJ 22-232]]</f>
        <v>-40902</v>
      </c>
      <c r="I25" s="613">
        <f>I8-Tabelle18[[#Totals],[Freie Eingabe Plan HHJ 21-22]]</f>
        <v>-70000</v>
      </c>
      <c r="J25" s="614"/>
      <c r="K25" s="614"/>
    </row>
    <row r="26" spans="1:12" x14ac:dyDescent="0.2">
      <c r="A26" s="63"/>
      <c r="B26" s="62"/>
      <c r="C26" s="62"/>
      <c r="D26" s="62"/>
      <c r="E26" s="62"/>
      <c r="F26" s="62"/>
      <c r="G26" s="62"/>
      <c r="H26" s="62"/>
    </row>
    <row r="27" spans="1:12" ht="16" x14ac:dyDescent="0.2">
      <c r="B27" s="100" t="s">
        <v>720</v>
      </c>
      <c r="C27" s="62"/>
      <c r="D27" s="62"/>
      <c r="E27" s="74"/>
      <c r="F27" s="62"/>
      <c r="G27" s="62"/>
      <c r="H27" s="62"/>
    </row>
    <row r="28" spans="1:12" ht="16" x14ac:dyDescent="0.2">
      <c r="B28" s="63" t="s">
        <v>721</v>
      </c>
      <c r="C28" s="62"/>
      <c r="D28" s="62"/>
      <c r="E28" s="74"/>
      <c r="F28" s="62"/>
      <c r="G28" s="62"/>
      <c r="H28" s="62"/>
    </row>
    <row r="29" spans="1:12" x14ac:dyDescent="0.2">
      <c r="B29" s="63" t="s">
        <v>722</v>
      </c>
      <c r="C29" s="66"/>
      <c r="D29" s="66"/>
      <c r="E29" s="75"/>
      <c r="F29" s="66"/>
      <c r="G29" s="66"/>
      <c r="H29" s="66"/>
    </row>
    <row r="30" spans="1:12" x14ac:dyDescent="0.2">
      <c r="A30" s="64"/>
      <c r="B30" s="66"/>
      <c r="C30" s="66"/>
      <c r="D30" s="66"/>
      <c r="E30" s="75"/>
      <c r="F30" s="66"/>
      <c r="G30" s="66"/>
      <c r="H30" s="66"/>
    </row>
    <row r="31" spans="1:12" x14ac:dyDescent="0.2">
      <c r="A31" s="63"/>
      <c r="B31" s="62"/>
      <c r="C31" s="62"/>
      <c r="D31" s="62"/>
      <c r="E31" s="62"/>
      <c r="F31" s="62"/>
      <c r="G31" s="62"/>
      <c r="H31" s="62"/>
    </row>
    <row r="32" spans="1:12" ht="16" x14ac:dyDescent="0.2">
      <c r="A32" s="7"/>
      <c r="B32" s="7" t="s">
        <v>1207</v>
      </c>
      <c r="D32" s="6" t="s">
        <v>723</v>
      </c>
    </row>
    <row r="33" spans="1:28" ht="17" thickBot="1" x14ac:dyDescent="0.25">
      <c r="A33" s="7"/>
    </row>
    <row r="34" spans="1:28" ht="16" thickBot="1" x14ac:dyDescent="0.25">
      <c r="A34" s="316"/>
      <c r="B34" s="317" t="s">
        <v>639</v>
      </c>
      <c r="C34" s="318" t="s">
        <v>69</v>
      </c>
      <c r="D34" s="319"/>
      <c r="E34" s="319" t="s">
        <v>90</v>
      </c>
      <c r="F34" s="320" t="s">
        <v>340</v>
      </c>
      <c r="G34" s="320"/>
      <c r="H34" s="320" t="s">
        <v>362</v>
      </c>
      <c r="I34" s="320" t="s">
        <v>369</v>
      </c>
      <c r="J34" s="320" t="s">
        <v>381</v>
      </c>
      <c r="K34" s="320" t="s">
        <v>391</v>
      </c>
      <c r="L34" s="615"/>
      <c r="O34" s="316"/>
      <c r="P34" s="317" t="s">
        <v>639</v>
      </c>
      <c r="Q34" s="318" t="s">
        <v>69</v>
      </c>
      <c r="R34" s="319"/>
      <c r="S34" s="319" t="s">
        <v>90</v>
      </c>
      <c r="T34" s="320" t="s">
        <v>340</v>
      </c>
      <c r="U34" s="320"/>
      <c r="V34" s="320" t="s">
        <v>362</v>
      </c>
      <c r="W34" s="320" t="s">
        <v>369</v>
      </c>
      <c r="X34" s="320" t="s">
        <v>381</v>
      </c>
      <c r="Y34" s="320" t="s">
        <v>391</v>
      </c>
      <c r="Z34" s="615"/>
    </row>
    <row r="35" spans="1:28" ht="61" thickBot="1" x14ac:dyDescent="0.25">
      <c r="A35" s="81" t="s">
        <v>724</v>
      </c>
      <c r="B35" s="119" t="s">
        <v>725</v>
      </c>
      <c r="C35" s="322" t="s">
        <v>726</v>
      </c>
      <c r="D35" s="323" t="s">
        <v>634</v>
      </c>
      <c r="E35" s="323" t="s">
        <v>727</v>
      </c>
      <c r="F35" s="323" t="s">
        <v>320</v>
      </c>
      <c r="G35" s="323" t="s">
        <v>732</v>
      </c>
      <c r="H35" s="323" t="s">
        <v>326</v>
      </c>
      <c r="I35" s="323" t="s">
        <v>728</v>
      </c>
      <c r="J35" s="323" t="s">
        <v>729</v>
      </c>
      <c r="K35" s="323" t="s">
        <v>1206</v>
      </c>
      <c r="L35" s="616" t="s">
        <v>590</v>
      </c>
      <c r="O35" s="81" t="s">
        <v>724</v>
      </c>
      <c r="P35" s="119" t="s">
        <v>725</v>
      </c>
      <c r="Q35" s="322" t="s">
        <v>726</v>
      </c>
      <c r="R35" s="323" t="s">
        <v>634</v>
      </c>
      <c r="S35" s="323" t="s">
        <v>727</v>
      </c>
      <c r="T35" s="323" t="s">
        <v>320</v>
      </c>
      <c r="U35" s="323" t="s">
        <v>732</v>
      </c>
      <c r="V35" s="323" t="s">
        <v>326</v>
      </c>
      <c r="W35" s="323" t="s">
        <v>728</v>
      </c>
      <c r="X35" s="323" t="s">
        <v>729</v>
      </c>
      <c r="Y35" s="323" t="s">
        <v>1206</v>
      </c>
      <c r="Z35" s="616" t="s">
        <v>590</v>
      </c>
    </row>
    <row r="36" spans="1:28" s="67" customFormat="1" ht="99.75" customHeight="1" outlineLevel="2" x14ac:dyDescent="0.2">
      <c r="A36" s="76">
        <f>ROW(A1)</f>
        <v>1</v>
      </c>
      <c r="B36" s="896" t="s">
        <v>1331</v>
      </c>
      <c r="C36" s="325"/>
      <c r="D36" s="267"/>
      <c r="E36" s="267"/>
      <c r="F36" s="267"/>
      <c r="G36" s="267"/>
      <c r="H36" s="267"/>
      <c r="I36" s="267"/>
      <c r="J36" s="267"/>
      <c r="K36" s="267"/>
      <c r="L36" s="271">
        <f t="shared" ref="L36:L44" si="2">SUM(C36:E36)-SUM(F36:K36)</f>
        <v>0</v>
      </c>
      <c r="O36" s="76">
        <f>ROW(O1)</f>
        <v>1</v>
      </c>
      <c r="P36" s="606" t="s">
        <v>1250</v>
      </c>
      <c r="Q36" s="325"/>
      <c r="R36" s="267"/>
      <c r="S36" s="267"/>
      <c r="T36" s="267"/>
      <c r="U36" s="267"/>
      <c r="V36" s="267"/>
      <c r="W36" s="267"/>
      <c r="X36" s="267"/>
      <c r="Y36" s="267"/>
      <c r="Z36" s="271">
        <f t="shared" ref="Z36:Z44" si="3">SUM(Q36:S36)-SUM(T36:Y36)</f>
        <v>0</v>
      </c>
      <c r="AB36" s="605" t="s">
        <v>1214</v>
      </c>
    </row>
    <row r="37" spans="1:28" s="67" customFormat="1" ht="54" customHeight="1" outlineLevel="2" x14ac:dyDescent="0.2">
      <c r="A37" s="76">
        <f t="shared" ref="A37:A43" si="4">ROW(A2)</f>
        <v>2</v>
      </c>
      <c r="B37" s="939" t="s">
        <v>1332</v>
      </c>
      <c r="C37" s="897">
        <v>46150</v>
      </c>
      <c r="D37" s="102"/>
      <c r="E37" s="102"/>
      <c r="F37" s="898">
        <v>40000</v>
      </c>
      <c r="G37" s="898">
        <v>1800</v>
      </c>
      <c r="H37" s="102"/>
      <c r="I37" s="102"/>
      <c r="J37" s="102"/>
      <c r="K37" s="898">
        <v>1340</v>
      </c>
      <c r="L37" s="103">
        <f t="shared" si="2"/>
        <v>3010</v>
      </c>
      <c r="O37" s="76">
        <f t="shared" ref="O37:O43" si="5">ROW(O2)</f>
        <v>2</v>
      </c>
      <c r="P37" s="249" t="s">
        <v>1251</v>
      </c>
      <c r="Q37" s="101">
        <v>10818</v>
      </c>
      <c r="R37" s="102"/>
      <c r="S37" s="102"/>
      <c r="T37" s="102">
        <v>9600</v>
      </c>
      <c r="U37" s="102">
        <f>12*45</f>
        <v>540</v>
      </c>
      <c r="V37" s="102"/>
      <c r="W37" s="102">
        <f>12*9.5</f>
        <v>114</v>
      </c>
      <c r="X37" s="102"/>
      <c r="Y37" s="102">
        <v>564</v>
      </c>
      <c r="Z37" s="103">
        <f t="shared" si="3"/>
        <v>0</v>
      </c>
    </row>
    <row r="38" spans="1:28" s="67" customFormat="1" ht="30" customHeight="1" outlineLevel="2" x14ac:dyDescent="0.2">
      <c r="A38" s="76">
        <f t="shared" si="4"/>
        <v>3</v>
      </c>
      <c r="B38" s="600"/>
      <c r="C38" s="101"/>
      <c r="D38" s="102"/>
      <c r="E38" s="102"/>
      <c r="F38" s="102"/>
      <c r="G38" s="102"/>
      <c r="H38" s="102"/>
      <c r="I38" s="102"/>
      <c r="J38" s="102"/>
      <c r="K38" s="102"/>
      <c r="L38" s="103"/>
      <c r="O38" s="76">
        <f t="shared" si="5"/>
        <v>3</v>
      </c>
      <c r="P38" s="600" t="s">
        <v>1252</v>
      </c>
      <c r="Q38" s="101">
        <v>10818</v>
      </c>
      <c r="R38" s="102"/>
      <c r="S38" s="102"/>
      <c r="T38" s="102">
        <v>9600</v>
      </c>
      <c r="U38" s="102">
        <v>540</v>
      </c>
      <c r="V38" s="102"/>
      <c r="W38" s="102">
        <v>114</v>
      </c>
      <c r="X38" s="102"/>
      <c r="Y38" s="102">
        <v>564</v>
      </c>
      <c r="Z38" s="103">
        <f t="shared" si="3"/>
        <v>0</v>
      </c>
    </row>
    <row r="39" spans="1:28" s="67" customFormat="1" ht="30" customHeight="1" outlineLevel="2" x14ac:dyDescent="0.2">
      <c r="A39" s="76">
        <f t="shared" si="4"/>
        <v>4</v>
      </c>
      <c r="B39" s="600"/>
      <c r="C39" s="101"/>
      <c r="D39" s="102"/>
      <c r="E39" s="102"/>
      <c r="F39" s="102"/>
      <c r="G39" s="102"/>
      <c r="H39" s="102"/>
      <c r="I39" s="102"/>
      <c r="J39" s="102"/>
      <c r="K39" s="102"/>
      <c r="L39" s="103"/>
      <c r="O39" s="76">
        <f t="shared" si="5"/>
        <v>4</v>
      </c>
      <c r="P39" s="600" t="s">
        <v>1253</v>
      </c>
      <c r="Q39" s="101">
        <v>9015</v>
      </c>
      <c r="R39" s="102"/>
      <c r="S39" s="102"/>
      <c r="T39" s="102">
        <v>8000</v>
      </c>
      <c r="U39" s="102">
        <v>450</v>
      </c>
      <c r="V39" s="102"/>
      <c r="W39" s="102">
        <v>95</v>
      </c>
      <c r="X39" s="102"/>
      <c r="Y39" s="102">
        <v>470</v>
      </c>
      <c r="Z39" s="103">
        <f t="shared" si="3"/>
        <v>0</v>
      </c>
    </row>
    <row r="40" spans="1:28" s="67" customFormat="1" ht="37.5" customHeight="1" outlineLevel="2" x14ac:dyDescent="0.2">
      <c r="A40" s="76">
        <f t="shared" si="4"/>
        <v>5</v>
      </c>
      <c r="B40" s="600"/>
      <c r="C40" s="101"/>
      <c r="D40" s="102"/>
      <c r="E40" s="102"/>
      <c r="F40" s="102"/>
      <c r="G40" s="102"/>
      <c r="H40" s="102"/>
      <c r="I40" s="102"/>
      <c r="J40" s="102"/>
      <c r="K40" s="102"/>
      <c r="L40" s="103"/>
      <c r="O40" s="76">
        <f t="shared" si="5"/>
        <v>5</v>
      </c>
      <c r="P40" s="600" t="s">
        <v>1254</v>
      </c>
      <c r="Q40" s="101">
        <v>9015</v>
      </c>
      <c r="R40" s="102"/>
      <c r="S40" s="102"/>
      <c r="T40" s="102">
        <v>8000</v>
      </c>
      <c r="U40" s="102">
        <v>450</v>
      </c>
      <c r="V40" s="102"/>
      <c r="W40" s="102">
        <v>95</v>
      </c>
      <c r="X40" s="102"/>
      <c r="Y40" s="102">
        <v>470</v>
      </c>
      <c r="Z40" s="103">
        <f t="shared" si="3"/>
        <v>0</v>
      </c>
    </row>
    <row r="41" spans="1:28" s="67" customFormat="1" ht="41.25" customHeight="1" outlineLevel="2" x14ac:dyDescent="0.2">
      <c r="A41" s="76">
        <f t="shared" si="4"/>
        <v>6</v>
      </c>
      <c r="B41" s="600"/>
      <c r="C41" s="101"/>
      <c r="D41" s="102"/>
      <c r="E41" s="102"/>
      <c r="F41" s="102"/>
      <c r="G41" s="102"/>
      <c r="H41" s="102"/>
      <c r="I41" s="102"/>
      <c r="J41" s="102"/>
      <c r="K41" s="102"/>
      <c r="L41" s="103"/>
      <c r="O41" s="76">
        <f t="shared" si="5"/>
        <v>6</v>
      </c>
      <c r="P41" s="600" t="s">
        <v>1212</v>
      </c>
      <c r="Q41" s="101">
        <v>13415</v>
      </c>
      <c r="R41" s="102"/>
      <c r="S41" s="102"/>
      <c r="T41" s="102">
        <v>8000</v>
      </c>
      <c r="U41" s="102">
        <v>570</v>
      </c>
      <c r="V41" s="102">
        <v>1000</v>
      </c>
      <c r="W41" s="102">
        <v>395</v>
      </c>
      <c r="X41" s="102">
        <v>2000</v>
      </c>
      <c r="Y41" s="102">
        <v>450</v>
      </c>
      <c r="Z41" s="103">
        <f t="shared" si="3"/>
        <v>1000</v>
      </c>
    </row>
    <row r="42" spans="1:28" s="67" customFormat="1" outlineLevel="2" x14ac:dyDescent="0.2">
      <c r="A42" s="76">
        <f t="shared" si="4"/>
        <v>7</v>
      </c>
      <c r="B42" s="597"/>
      <c r="C42" s="101"/>
      <c r="D42" s="102"/>
      <c r="E42" s="102"/>
      <c r="F42" s="102"/>
      <c r="G42" s="102"/>
      <c r="H42" s="102"/>
      <c r="I42" s="102"/>
      <c r="J42" s="102"/>
      <c r="K42" s="102"/>
      <c r="L42" s="103">
        <f t="shared" si="2"/>
        <v>0</v>
      </c>
      <c r="O42" s="76">
        <f t="shared" si="5"/>
        <v>7</v>
      </c>
      <c r="P42" s="597"/>
      <c r="Q42" s="101"/>
      <c r="R42" s="102"/>
      <c r="S42" s="102"/>
      <c r="T42" s="102"/>
      <c r="U42" s="102"/>
      <c r="V42" s="102"/>
      <c r="W42" s="102"/>
      <c r="X42" s="102"/>
      <c r="Y42" s="102"/>
      <c r="Z42" s="103">
        <f t="shared" si="3"/>
        <v>0</v>
      </c>
    </row>
    <row r="43" spans="1:28" s="67" customFormat="1" ht="16" outlineLevel="2" x14ac:dyDescent="0.2">
      <c r="A43" s="76">
        <f t="shared" si="4"/>
        <v>8</v>
      </c>
      <c r="B43" s="599" t="s">
        <v>614</v>
      </c>
      <c r="C43" s="101"/>
      <c r="D43" s="102"/>
      <c r="E43" s="102"/>
      <c r="F43" s="102"/>
      <c r="G43" s="102"/>
      <c r="H43" s="102">
        <v>500</v>
      </c>
      <c r="I43" s="102"/>
      <c r="J43" s="102"/>
      <c r="K43" s="102"/>
      <c r="L43" s="103">
        <f t="shared" si="2"/>
        <v>-500</v>
      </c>
      <c r="O43" s="76">
        <f t="shared" si="5"/>
        <v>8</v>
      </c>
      <c r="P43" s="599" t="s">
        <v>614</v>
      </c>
      <c r="Q43" s="101">
        <v>3300</v>
      </c>
      <c r="R43" s="102"/>
      <c r="S43" s="102"/>
      <c r="T43" s="102">
        <v>2400</v>
      </c>
      <c r="U43" s="102"/>
      <c r="V43" s="102">
        <v>100</v>
      </c>
      <c r="W43" s="102">
        <v>200</v>
      </c>
      <c r="X43" s="102">
        <v>500</v>
      </c>
      <c r="Y43" s="102">
        <v>100</v>
      </c>
      <c r="Z43" s="103">
        <f t="shared" si="3"/>
        <v>0</v>
      </c>
    </row>
    <row r="44" spans="1:28" s="67" customFormat="1" ht="16" outlineLevel="2" thickBot="1" x14ac:dyDescent="0.25">
      <c r="A44" s="76"/>
      <c r="B44" s="598"/>
      <c r="C44" s="101"/>
      <c r="D44" s="102"/>
      <c r="E44" s="102"/>
      <c r="F44" s="102"/>
      <c r="G44" s="102"/>
      <c r="H44" s="102"/>
      <c r="I44" s="102"/>
      <c r="J44" s="102"/>
      <c r="K44" s="102"/>
      <c r="L44" s="103">
        <f t="shared" si="2"/>
        <v>0</v>
      </c>
      <c r="O44" s="76"/>
      <c r="P44" s="598"/>
      <c r="Q44" s="101"/>
      <c r="R44" s="102"/>
      <c r="S44" s="102"/>
      <c r="T44" s="102"/>
      <c r="U44" s="102"/>
      <c r="V44" s="102"/>
      <c r="W44" s="102"/>
      <c r="X44" s="102"/>
      <c r="Y44" s="102"/>
      <c r="Z44" s="103">
        <f t="shared" si="3"/>
        <v>0</v>
      </c>
    </row>
    <row r="45" spans="1:28" s="84" customFormat="1" ht="20.25" customHeight="1" thickBot="1" x14ac:dyDescent="0.25">
      <c r="A45" s="82"/>
      <c r="B45" s="83" t="s">
        <v>680</v>
      </c>
      <c r="C45" s="261">
        <f>SUBTOTAL(9,Tabelle444[Teilnahmebeiträge Fachseminare])</f>
        <v>46150</v>
      </c>
      <c r="D45" s="326">
        <f>SUBTOTAL(9,Tabelle444[Teilnahmebeiträge Veranstaltungen])</f>
        <v>0</v>
      </c>
      <c r="E45" s="326">
        <f>SUBTOTAL(9,Tabelle444[Sonstige Einnahmen])</f>
        <v>0</v>
      </c>
      <c r="F45" s="327">
        <f>SUBTOTAL(9,Tabelle444[Honorare Dozierende Fachseminare])</f>
        <v>40000</v>
      </c>
      <c r="G45" s="327">
        <f>SUBTOTAL(9,Tabelle444[Aufwandsentschädigungen])</f>
        <v>1800</v>
      </c>
      <c r="H45" s="327">
        <f>SUBTOTAL(9,Tabelle444[Externe Reisekosten])</f>
        <v>500</v>
      </c>
      <c r="I45" s="327">
        <f>SUBTOTAL(9,Tabelle444[Repräsentation/Bewirtung extern])</f>
        <v>0</v>
      </c>
      <c r="J45" s="327">
        <f>SUBTOTAL(9,Tabelle444[Raum + Unterkunft extern])</f>
        <v>0</v>
      </c>
      <c r="K45" s="327">
        <f>SUBTOTAL(9,Tabelle444[Verwaltungs- und Druckkosten])</f>
        <v>1340</v>
      </c>
      <c r="L45" s="610">
        <f>SUBTOTAL(9,Tabelle444[Gesamt])</f>
        <v>2510</v>
      </c>
      <c r="O45" s="82"/>
      <c r="P45" s="83" t="s">
        <v>680</v>
      </c>
      <c r="Q45" s="261">
        <f>SUBTOTAL(9,Tabelle4[Teilnahmebeiträge Fachseminare])</f>
        <v>56381</v>
      </c>
      <c r="R45" s="326">
        <f>SUBTOTAL(9,Tabelle4[Teilnahmebeiträge Veranstaltungen])</f>
        <v>0</v>
      </c>
      <c r="S45" s="326">
        <f>SUBTOTAL(9,Tabelle4[Sonstige Einnahmen])</f>
        <v>0</v>
      </c>
      <c r="T45" s="327">
        <f>SUBTOTAL(9,Tabelle4[Honorare Dozierende Fachseminare])</f>
        <v>45600</v>
      </c>
      <c r="U45" s="327">
        <f>SUBTOTAL(9,Tabelle4[Aufwandsentschädigungen])</f>
        <v>2550</v>
      </c>
      <c r="V45" s="327">
        <f>SUBTOTAL(9,Tabelle4[Externe Reisekosten])</f>
        <v>1100</v>
      </c>
      <c r="W45" s="327">
        <f>SUBTOTAL(9,Tabelle4[Repräsentation/Bewirtung extern])</f>
        <v>1013</v>
      </c>
      <c r="X45" s="327">
        <f>SUBTOTAL(9,Tabelle4[Raum + Unterkunft extern])</f>
        <v>2500</v>
      </c>
      <c r="Y45" s="327">
        <f>SUBTOTAL(9,Tabelle4[Verwaltungs- und Druckkosten])</f>
        <v>2618</v>
      </c>
      <c r="Z45" s="610">
        <f>SUBTOTAL(9,Tabelle4[Gesamt])</f>
        <v>1000</v>
      </c>
    </row>
    <row r="46" spans="1:28" ht="15" customHeight="1" x14ac:dyDescent="0.25">
      <c r="A46" s="11"/>
    </row>
    <row r="47" spans="1:28" s="61" customFormat="1" ht="16" x14ac:dyDescent="0.2">
      <c r="A47" s="7"/>
      <c r="B47" s="7" t="s">
        <v>730</v>
      </c>
      <c r="D47" s="6" t="s">
        <v>723</v>
      </c>
    </row>
    <row r="48" spans="1:28" ht="15.75" customHeight="1" thickBot="1" x14ac:dyDescent="0.3">
      <c r="A48" s="11"/>
    </row>
    <row r="49" spans="1:32" ht="16" thickBot="1" x14ac:dyDescent="0.25">
      <c r="A49" s="86"/>
      <c r="B49" s="122" t="s">
        <v>639</v>
      </c>
      <c r="C49" s="77" t="s">
        <v>83</v>
      </c>
      <c r="D49" s="78" t="s">
        <v>90</v>
      </c>
      <c r="E49" s="79" t="s">
        <v>136</v>
      </c>
      <c r="F49" s="79" t="s">
        <v>244</v>
      </c>
      <c r="G49" s="79" t="s">
        <v>268</v>
      </c>
      <c r="H49" s="79" t="s">
        <v>294</v>
      </c>
      <c r="I49" s="79" t="s">
        <v>369</v>
      </c>
      <c r="J49" s="79" t="s">
        <v>381</v>
      </c>
      <c r="K49" s="79" t="s">
        <v>391</v>
      </c>
      <c r="L49" s="79" t="s">
        <v>403</v>
      </c>
      <c r="M49" s="79" t="s">
        <v>431</v>
      </c>
      <c r="N49" s="601" t="s">
        <v>351</v>
      </c>
      <c r="O49" s="80"/>
      <c r="R49" s="86"/>
      <c r="S49" s="122" t="s">
        <v>639</v>
      </c>
      <c r="T49" s="77" t="s">
        <v>83</v>
      </c>
      <c r="U49" s="78" t="s">
        <v>90</v>
      </c>
      <c r="V49" s="79" t="s">
        <v>136</v>
      </c>
      <c r="W49" s="79" t="s">
        <v>244</v>
      </c>
      <c r="X49" s="79" t="s">
        <v>268</v>
      </c>
      <c r="Y49" s="79" t="s">
        <v>294</v>
      </c>
      <c r="Z49" s="79" t="s">
        <v>369</v>
      </c>
      <c r="AA49" s="79" t="s">
        <v>381</v>
      </c>
      <c r="AB49" s="79" t="s">
        <v>391</v>
      </c>
      <c r="AC49" s="79" t="s">
        <v>403</v>
      </c>
      <c r="AD49" s="79" t="s">
        <v>431</v>
      </c>
      <c r="AE49" s="601" t="s">
        <v>351</v>
      </c>
      <c r="AF49" s="80"/>
    </row>
    <row r="50" spans="1:32" ht="61" thickBot="1" x14ac:dyDescent="0.25">
      <c r="A50" s="87" t="s">
        <v>724</v>
      </c>
      <c r="B50" s="85" t="s">
        <v>731</v>
      </c>
      <c r="C50" s="88" t="s">
        <v>634</v>
      </c>
      <c r="D50" s="85" t="s">
        <v>727</v>
      </c>
      <c r="E50" s="85" t="s">
        <v>732</v>
      </c>
      <c r="F50" s="85" t="s">
        <v>627</v>
      </c>
      <c r="G50" s="85" t="s">
        <v>733</v>
      </c>
      <c r="H50" s="85" t="s">
        <v>734</v>
      </c>
      <c r="I50" s="85" t="s">
        <v>728</v>
      </c>
      <c r="J50" s="85" t="s">
        <v>729</v>
      </c>
      <c r="K50" s="85" t="s">
        <v>334</v>
      </c>
      <c r="L50" s="85" t="s">
        <v>315</v>
      </c>
      <c r="M50" s="85" t="s">
        <v>658</v>
      </c>
      <c r="N50" s="85" t="s">
        <v>323</v>
      </c>
      <c r="O50" s="89" t="s">
        <v>590</v>
      </c>
      <c r="R50" s="87" t="s">
        <v>724</v>
      </c>
      <c r="S50" s="85" t="s">
        <v>731</v>
      </c>
      <c r="T50" s="88" t="s">
        <v>634</v>
      </c>
      <c r="U50" s="85" t="s">
        <v>727</v>
      </c>
      <c r="V50" s="85" t="s">
        <v>732</v>
      </c>
      <c r="W50" s="85" t="s">
        <v>627</v>
      </c>
      <c r="X50" s="85" t="s">
        <v>733</v>
      </c>
      <c r="Y50" s="85" t="s">
        <v>734</v>
      </c>
      <c r="Z50" s="85" t="s">
        <v>728</v>
      </c>
      <c r="AA50" s="85" t="s">
        <v>729</v>
      </c>
      <c r="AB50" s="85" t="s">
        <v>334</v>
      </c>
      <c r="AC50" s="85" t="s">
        <v>315</v>
      </c>
      <c r="AD50" s="85" t="s">
        <v>658</v>
      </c>
      <c r="AE50" s="85" t="s">
        <v>323</v>
      </c>
      <c r="AF50" s="89" t="s">
        <v>590</v>
      </c>
    </row>
    <row r="51" spans="1:32" s="67" customFormat="1" outlineLevel="1" x14ac:dyDescent="0.2">
      <c r="A51" s="235">
        <f>ROW(A1)</f>
        <v>1</v>
      </c>
      <c r="B51" s="236" t="s">
        <v>735</v>
      </c>
      <c r="C51" s="328">
        <v>0</v>
      </c>
      <c r="D51" s="329">
        <v>0</v>
      </c>
      <c r="E51" s="329"/>
      <c r="F51" s="329"/>
      <c r="G51" s="329"/>
      <c r="H51" s="329"/>
      <c r="I51" s="329"/>
      <c r="J51" s="329"/>
      <c r="K51" s="329"/>
      <c r="L51" s="329">
        <v>140</v>
      </c>
      <c r="M51" s="329"/>
      <c r="N51" s="329"/>
      <c r="O51" s="259">
        <f t="shared" ref="O51:O61" si="6">SUM(C51+D51)-SUM(E51:M51)</f>
        <v>-140</v>
      </c>
      <c r="R51" s="235">
        <f t="shared" ref="R51:R61" si="7">ROW(A1)</f>
        <v>1</v>
      </c>
      <c r="S51" s="236" t="s">
        <v>735</v>
      </c>
      <c r="T51" s="328">
        <v>0</v>
      </c>
      <c r="U51" s="329">
        <v>0</v>
      </c>
      <c r="V51" s="329"/>
      <c r="W51" s="329"/>
      <c r="X51" s="329"/>
      <c r="Y51" s="329"/>
      <c r="Z51" s="329"/>
      <c r="AA51" s="329"/>
      <c r="AB51" s="329"/>
      <c r="AC51" s="329">
        <v>160</v>
      </c>
      <c r="AD51" s="329"/>
      <c r="AE51" s="329"/>
      <c r="AF51" s="259">
        <f t="shared" ref="AF51:AF61" si="8">SUM(T51+U51)-SUM(V51:AD51)</f>
        <v>-160</v>
      </c>
    </row>
    <row r="52" spans="1:32" s="67" customFormat="1" ht="30" outlineLevel="1" x14ac:dyDescent="0.2">
      <c r="A52" s="235">
        <f t="shared" ref="A52:A61" si="9">ROW(A2)</f>
        <v>2</v>
      </c>
      <c r="B52" s="272" t="s">
        <v>736</v>
      </c>
      <c r="C52" s="110"/>
      <c r="D52" s="111"/>
      <c r="E52" s="899">
        <v>500</v>
      </c>
      <c r="F52" s="899">
        <v>1200</v>
      </c>
      <c r="G52" s="899">
        <v>300</v>
      </c>
      <c r="H52" s="899">
        <v>100</v>
      </c>
      <c r="I52" s="899">
        <v>200</v>
      </c>
      <c r="J52" s="900"/>
      <c r="K52" s="899">
        <v>100</v>
      </c>
      <c r="L52" s="899">
        <v>500</v>
      </c>
      <c r="M52" s="900"/>
      <c r="N52" s="900"/>
      <c r="O52" s="243">
        <f t="shared" si="6"/>
        <v>-2900</v>
      </c>
      <c r="R52" s="235">
        <f t="shared" si="7"/>
        <v>2</v>
      </c>
      <c r="S52" s="272" t="s">
        <v>736</v>
      </c>
      <c r="T52" s="110"/>
      <c r="U52" s="111"/>
      <c r="V52" s="111">
        <v>500</v>
      </c>
      <c r="W52" s="111">
        <v>1200</v>
      </c>
      <c r="X52" s="111">
        <v>300</v>
      </c>
      <c r="Y52" s="111">
        <v>100</v>
      </c>
      <c r="Z52" s="111">
        <v>200</v>
      </c>
      <c r="AA52" s="111"/>
      <c r="AB52" s="111">
        <v>100</v>
      </c>
      <c r="AC52" s="111">
        <v>500</v>
      </c>
      <c r="AD52" s="111"/>
      <c r="AE52" s="111"/>
      <c r="AF52" s="243">
        <f t="shared" si="8"/>
        <v>-2900</v>
      </c>
    </row>
    <row r="53" spans="1:32" s="67" customFormat="1" outlineLevel="1" x14ac:dyDescent="0.2">
      <c r="A53" s="235">
        <f t="shared" si="9"/>
        <v>3</v>
      </c>
      <c r="B53" s="236"/>
      <c r="C53" s="237"/>
      <c r="D53" s="238"/>
      <c r="E53" s="238"/>
      <c r="F53" s="238"/>
      <c r="G53" s="238"/>
      <c r="H53" s="238"/>
      <c r="I53" s="238"/>
      <c r="J53" s="238"/>
      <c r="K53" s="238"/>
      <c r="L53" s="238"/>
      <c r="M53" s="238">
        <v>0</v>
      </c>
      <c r="N53" s="238"/>
      <c r="O53" s="243">
        <f t="shared" si="6"/>
        <v>0</v>
      </c>
      <c r="R53" s="235">
        <f t="shared" si="7"/>
        <v>3</v>
      </c>
      <c r="S53" s="236"/>
      <c r="T53" s="237"/>
      <c r="U53" s="238"/>
      <c r="V53" s="238"/>
      <c r="W53" s="238"/>
      <c r="X53" s="238"/>
      <c r="Y53" s="238"/>
      <c r="Z53" s="238"/>
      <c r="AA53" s="238"/>
      <c r="AB53" s="238"/>
      <c r="AC53" s="238"/>
      <c r="AD53" s="238">
        <v>0</v>
      </c>
      <c r="AE53" s="238"/>
      <c r="AF53" s="243">
        <f t="shared" si="8"/>
        <v>0</v>
      </c>
    </row>
    <row r="54" spans="1:32" s="67" customFormat="1" ht="60" outlineLevel="1" x14ac:dyDescent="0.2">
      <c r="A54" s="235">
        <f t="shared" si="9"/>
        <v>4</v>
      </c>
      <c r="B54" s="236" t="s">
        <v>737</v>
      </c>
      <c r="C54" s="237"/>
      <c r="D54" s="238"/>
      <c r="E54" s="238"/>
      <c r="F54" s="238"/>
      <c r="G54" s="238"/>
      <c r="H54" s="238"/>
      <c r="I54" s="238"/>
      <c r="J54" s="238"/>
      <c r="K54" s="238">
        <v>1300</v>
      </c>
      <c r="L54" s="238">
        <v>100</v>
      </c>
      <c r="M54" s="238"/>
      <c r="N54" s="238"/>
      <c r="O54" s="243">
        <f t="shared" si="6"/>
        <v>-1400</v>
      </c>
      <c r="R54" s="235">
        <f t="shared" si="7"/>
        <v>4</v>
      </c>
      <c r="S54" s="236" t="s">
        <v>737</v>
      </c>
      <c r="T54" s="237"/>
      <c r="U54" s="238"/>
      <c r="V54" s="238"/>
      <c r="W54" s="238"/>
      <c r="X54" s="238"/>
      <c r="Y54" s="238"/>
      <c r="Z54" s="238"/>
      <c r="AA54" s="238"/>
      <c r="AB54" s="238">
        <v>300</v>
      </c>
      <c r="AC54" s="238">
        <v>100</v>
      </c>
      <c r="AD54" s="238"/>
      <c r="AE54" s="238"/>
      <c r="AF54" s="243">
        <f t="shared" si="8"/>
        <v>-400</v>
      </c>
    </row>
    <row r="55" spans="1:32" s="67" customFormat="1" ht="45" outlineLevel="1" x14ac:dyDescent="0.2">
      <c r="A55" s="235">
        <f t="shared" si="9"/>
        <v>5</v>
      </c>
      <c r="B55" s="236" t="s">
        <v>738</v>
      </c>
      <c r="C55" s="237"/>
      <c r="D55" s="238"/>
      <c r="E55" s="238">
        <v>640</v>
      </c>
      <c r="F55" s="238">
        <v>1200</v>
      </c>
      <c r="G55" s="238">
        <v>400</v>
      </c>
      <c r="H55" s="238"/>
      <c r="I55" s="238">
        <v>100</v>
      </c>
      <c r="J55" s="238"/>
      <c r="K55" s="238"/>
      <c r="L55" s="238">
        <v>640</v>
      </c>
      <c r="M55" s="238"/>
      <c r="N55" s="238"/>
      <c r="O55" s="243">
        <f t="shared" si="6"/>
        <v>-2980</v>
      </c>
      <c r="R55" s="235">
        <f t="shared" si="7"/>
        <v>5</v>
      </c>
      <c r="S55" s="236" t="s">
        <v>738</v>
      </c>
      <c r="T55" s="237"/>
      <c r="U55" s="238"/>
      <c r="V55" s="238">
        <v>640</v>
      </c>
      <c r="W55" s="238">
        <v>1200</v>
      </c>
      <c r="X55" s="238">
        <v>400</v>
      </c>
      <c r="Y55" s="238"/>
      <c r="Z55" s="238">
        <v>60</v>
      </c>
      <c r="AA55" s="238"/>
      <c r="AB55" s="238"/>
      <c r="AC55" s="238">
        <v>640</v>
      </c>
      <c r="AD55" s="238"/>
      <c r="AE55" s="238"/>
      <c r="AF55" s="243">
        <f t="shared" si="8"/>
        <v>-2940</v>
      </c>
    </row>
    <row r="56" spans="1:32" s="67" customFormat="1" outlineLevel="1" x14ac:dyDescent="0.2">
      <c r="A56" s="235">
        <f t="shared" si="9"/>
        <v>6</v>
      </c>
      <c r="B56" s="236"/>
      <c r="C56" s="237"/>
      <c r="D56" s="238"/>
      <c r="E56" s="238"/>
      <c r="F56" s="238"/>
      <c r="G56" s="238"/>
      <c r="H56" s="238"/>
      <c r="I56" s="238"/>
      <c r="J56" s="238"/>
      <c r="K56" s="238"/>
      <c r="L56" s="238"/>
      <c r="M56" s="238"/>
      <c r="N56" s="238"/>
      <c r="O56" s="243">
        <f t="shared" si="6"/>
        <v>0</v>
      </c>
      <c r="R56" s="235">
        <f t="shared" si="7"/>
        <v>6</v>
      </c>
      <c r="S56" s="236"/>
      <c r="T56" s="237"/>
      <c r="U56" s="238"/>
      <c r="V56" s="238"/>
      <c r="W56" s="238"/>
      <c r="X56" s="238"/>
      <c r="Y56" s="238"/>
      <c r="Z56" s="238"/>
      <c r="AA56" s="238"/>
      <c r="AB56" s="238"/>
      <c r="AC56" s="238"/>
      <c r="AD56" s="238"/>
      <c r="AE56" s="238"/>
      <c r="AF56" s="243">
        <f t="shared" si="8"/>
        <v>0</v>
      </c>
    </row>
    <row r="57" spans="1:32" s="67" customFormat="1" outlineLevel="1" x14ac:dyDescent="0.2">
      <c r="A57" s="235">
        <f t="shared" si="9"/>
        <v>7</v>
      </c>
      <c r="B57" s="236"/>
      <c r="C57" s="237"/>
      <c r="D57" s="238"/>
      <c r="E57" s="238"/>
      <c r="F57" s="238"/>
      <c r="G57" s="238"/>
      <c r="H57" s="238"/>
      <c r="I57" s="238"/>
      <c r="J57" s="238"/>
      <c r="K57" s="238"/>
      <c r="L57" s="238"/>
      <c r="M57" s="238"/>
      <c r="N57" s="238"/>
      <c r="O57" s="243">
        <f t="shared" si="6"/>
        <v>0</v>
      </c>
      <c r="R57" s="235">
        <f t="shared" si="7"/>
        <v>7</v>
      </c>
      <c r="S57" s="236"/>
      <c r="T57" s="237"/>
      <c r="U57" s="238"/>
      <c r="V57" s="238"/>
      <c r="W57" s="238"/>
      <c r="X57" s="238"/>
      <c r="Y57" s="238"/>
      <c r="Z57" s="238"/>
      <c r="AA57" s="238"/>
      <c r="AB57" s="238"/>
      <c r="AC57" s="238"/>
      <c r="AD57" s="238"/>
      <c r="AE57" s="238"/>
      <c r="AF57" s="243">
        <f t="shared" si="8"/>
        <v>0</v>
      </c>
    </row>
    <row r="58" spans="1:32" s="67" customFormat="1" outlineLevel="1" x14ac:dyDescent="0.2">
      <c r="A58" s="235">
        <f t="shared" si="9"/>
        <v>8</v>
      </c>
      <c r="B58" s="236"/>
      <c r="C58" s="237"/>
      <c r="D58" s="238"/>
      <c r="E58" s="238"/>
      <c r="F58" s="238"/>
      <c r="G58" s="238"/>
      <c r="H58" s="238"/>
      <c r="I58" s="238"/>
      <c r="J58" s="238"/>
      <c r="K58" s="238"/>
      <c r="L58" s="238"/>
      <c r="M58" s="238"/>
      <c r="N58" s="238"/>
      <c r="O58" s="243">
        <f t="shared" si="6"/>
        <v>0</v>
      </c>
      <c r="R58" s="235">
        <f t="shared" si="7"/>
        <v>8</v>
      </c>
      <c r="S58" s="236"/>
      <c r="T58" s="237"/>
      <c r="U58" s="238"/>
      <c r="V58" s="238"/>
      <c r="W58" s="238"/>
      <c r="X58" s="238"/>
      <c r="Y58" s="238"/>
      <c r="Z58" s="238"/>
      <c r="AA58" s="238"/>
      <c r="AB58" s="238"/>
      <c r="AC58" s="238"/>
      <c r="AD58" s="238"/>
      <c r="AE58" s="238"/>
      <c r="AF58" s="243">
        <f t="shared" si="8"/>
        <v>0</v>
      </c>
    </row>
    <row r="59" spans="1:32" s="67" customFormat="1" outlineLevel="1" x14ac:dyDescent="0.2">
      <c r="A59" s="235">
        <f t="shared" si="9"/>
        <v>9</v>
      </c>
      <c r="B59" s="236"/>
      <c r="C59" s="237"/>
      <c r="D59" s="238"/>
      <c r="E59" s="238"/>
      <c r="F59" s="238"/>
      <c r="G59" s="238"/>
      <c r="H59" s="238"/>
      <c r="I59" s="238"/>
      <c r="J59" s="238"/>
      <c r="K59" s="238"/>
      <c r="L59" s="238"/>
      <c r="M59" s="238"/>
      <c r="N59" s="238"/>
      <c r="O59" s="243">
        <f t="shared" si="6"/>
        <v>0</v>
      </c>
      <c r="R59" s="235">
        <f t="shared" si="7"/>
        <v>9</v>
      </c>
      <c r="S59" s="236"/>
      <c r="T59" s="237"/>
      <c r="U59" s="238"/>
      <c r="V59" s="238"/>
      <c r="W59" s="238"/>
      <c r="X59" s="238"/>
      <c r="Y59" s="238"/>
      <c r="Z59" s="238"/>
      <c r="AA59" s="238"/>
      <c r="AB59" s="238"/>
      <c r="AC59" s="238"/>
      <c r="AD59" s="238"/>
      <c r="AE59" s="238"/>
      <c r="AF59" s="243">
        <f t="shared" si="8"/>
        <v>0</v>
      </c>
    </row>
    <row r="60" spans="1:32" s="67" customFormat="1" outlineLevel="1" x14ac:dyDescent="0.2">
      <c r="A60" s="235">
        <f t="shared" si="9"/>
        <v>10</v>
      </c>
      <c r="B60" s="236"/>
      <c r="C60" s="237"/>
      <c r="D60" s="238"/>
      <c r="E60" s="238"/>
      <c r="F60" s="238"/>
      <c r="G60" s="238"/>
      <c r="H60" s="238"/>
      <c r="I60" s="238"/>
      <c r="J60" s="238"/>
      <c r="K60" s="238"/>
      <c r="L60" s="238"/>
      <c r="M60" s="238"/>
      <c r="N60" s="238"/>
      <c r="O60" s="243">
        <f t="shared" si="6"/>
        <v>0</v>
      </c>
      <c r="R60" s="235">
        <f t="shared" si="7"/>
        <v>10</v>
      </c>
      <c r="S60" s="236"/>
      <c r="T60" s="237"/>
      <c r="U60" s="238"/>
      <c r="V60" s="238"/>
      <c r="W60" s="238"/>
      <c r="X60" s="238"/>
      <c r="Y60" s="238"/>
      <c r="Z60" s="238"/>
      <c r="AA60" s="238"/>
      <c r="AB60" s="238"/>
      <c r="AC60" s="238"/>
      <c r="AD60" s="238"/>
      <c r="AE60" s="238"/>
      <c r="AF60" s="243">
        <f t="shared" si="8"/>
        <v>0</v>
      </c>
    </row>
    <row r="61" spans="1:32" ht="16" outlineLevel="1" thickBot="1" x14ac:dyDescent="0.25">
      <c r="A61" s="235">
        <f t="shared" si="9"/>
        <v>11</v>
      </c>
      <c r="B61" s="91" t="s">
        <v>589</v>
      </c>
      <c r="C61" s="112">
        <v>0</v>
      </c>
      <c r="D61" s="113">
        <v>0</v>
      </c>
      <c r="E61" s="113">
        <v>1400</v>
      </c>
      <c r="F61" s="113">
        <v>2500</v>
      </c>
      <c r="G61" s="113">
        <v>800</v>
      </c>
      <c r="H61" s="113">
        <v>200</v>
      </c>
      <c r="I61" s="113">
        <v>200</v>
      </c>
      <c r="J61" s="113">
        <v>500</v>
      </c>
      <c r="K61" s="113">
        <v>1000</v>
      </c>
      <c r="L61" s="113">
        <v>2000</v>
      </c>
      <c r="M61" s="113">
        <v>500</v>
      </c>
      <c r="N61" s="602">
        <v>2000</v>
      </c>
      <c r="O61" s="245">
        <f t="shared" si="6"/>
        <v>-9100</v>
      </c>
      <c r="R61" s="90">
        <f t="shared" si="7"/>
        <v>11</v>
      </c>
      <c r="S61" s="91" t="s">
        <v>589</v>
      </c>
      <c r="T61" s="112">
        <v>0</v>
      </c>
      <c r="U61" s="113">
        <v>0</v>
      </c>
      <c r="V61" s="113">
        <v>1400</v>
      </c>
      <c r="W61" s="113">
        <v>2500</v>
      </c>
      <c r="X61" s="113">
        <v>800</v>
      </c>
      <c r="Y61" s="113">
        <v>200</v>
      </c>
      <c r="Z61" s="113">
        <v>200</v>
      </c>
      <c r="AA61" s="113">
        <v>500</v>
      </c>
      <c r="AB61" s="113">
        <v>600</v>
      </c>
      <c r="AC61" s="113">
        <v>1120</v>
      </c>
      <c r="AD61" s="113">
        <v>600</v>
      </c>
      <c r="AE61" s="602">
        <v>1000</v>
      </c>
      <c r="AF61" s="245">
        <f t="shared" si="8"/>
        <v>-7920</v>
      </c>
    </row>
    <row r="62" spans="1:32" ht="23.25" customHeight="1" thickBot="1" x14ac:dyDescent="0.25">
      <c r="A62" s="92"/>
      <c r="B62" s="93" t="s">
        <v>680</v>
      </c>
      <c r="C62" s="261">
        <f>SUBTOTAL(9,Tabelle546[Teilnahmebeiträge Veranstaltungen])</f>
        <v>0</v>
      </c>
      <c r="D62" s="326">
        <f>SUBTOTAL(9,Tabelle546[Sonstige Einnahmen])</f>
        <v>0</v>
      </c>
      <c r="E62" s="327">
        <f>SUBTOTAL(9,Tabelle546[Aufwandsentschädigungen])</f>
        <v>2540</v>
      </c>
      <c r="F62" s="327">
        <f>SUBTOTAL(9,Tabelle546[Interne Reisekosten])</f>
        <v>4900</v>
      </c>
      <c r="G62" s="327">
        <f>SUBTOTAL(9,Tabelle546[Raum + Unterkunft intern])</f>
        <v>1500</v>
      </c>
      <c r="H62" s="327">
        <f>SUBTOTAL(9,Tabelle546[Repräsentation/Bewirtung intern])</f>
        <v>300</v>
      </c>
      <c r="I62" s="327">
        <f>SUBTOTAL(9,Tabelle546[Repräsentation/Bewirtung extern])</f>
        <v>500</v>
      </c>
      <c r="J62" s="327">
        <f>SUBTOTAL(9,Tabelle546[Raum + Unterkunft extern])</f>
        <v>500</v>
      </c>
      <c r="K62" s="327">
        <f>SUBTOTAL(9,Tabelle546[Druckkosten])</f>
        <v>2400</v>
      </c>
      <c r="L62" s="327">
        <f>SUBTOTAL(9,Tabelle546[Sonstige Kosten])</f>
        <v>3380</v>
      </c>
      <c r="M62" s="327">
        <f>SUBTOTAL(9,Tabelle546[Rechtsangelegenheiten])</f>
        <v>500</v>
      </c>
      <c r="N62" s="327">
        <f>SUBTOTAL(109,Tabelle546[Andere Honorare])</f>
        <v>2000</v>
      </c>
      <c r="O62" s="617">
        <f>SUBTOTAL(9,Tabelle546[Gesamt])</f>
        <v>-16520</v>
      </c>
      <c r="R62" s="92"/>
      <c r="S62" s="93" t="s">
        <v>680</v>
      </c>
      <c r="T62" s="261">
        <f>SUBTOTAL(9,Tabelle5[Teilnahmebeiträge Veranstaltungen])</f>
        <v>0</v>
      </c>
      <c r="U62" s="326">
        <f>SUBTOTAL(9,Tabelle5[Sonstige Einnahmen])</f>
        <v>0</v>
      </c>
      <c r="V62" s="327">
        <f>SUBTOTAL(9,Tabelle5[Aufwandsentschädigungen])</f>
        <v>2540</v>
      </c>
      <c r="W62" s="327">
        <f>SUBTOTAL(9,Tabelle5[Interne Reisekosten])</f>
        <v>4900</v>
      </c>
      <c r="X62" s="327">
        <f>SUBTOTAL(9,Tabelle5[Raum + Unterkunft intern])</f>
        <v>1500</v>
      </c>
      <c r="Y62" s="327">
        <f>SUBTOTAL(9,Tabelle5[Repräsentation/Bewirtung intern])</f>
        <v>300</v>
      </c>
      <c r="Z62" s="327">
        <f>SUBTOTAL(9,Tabelle5[Repräsentation/Bewirtung extern])</f>
        <v>460</v>
      </c>
      <c r="AA62" s="327">
        <f>SUBTOTAL(9,Tabelle5[Raum + Unterkunft extern])</f>
        <v>500</v>
      </c>
      <c r="AB62" s="327">
        <f>SUBTOTAL(9,Tabelle5[Druckkosten])</f>
        <v>1000</v>
      </c>
      <c r="AC62" s="327">
        <f>SUBTOTAL(9,Tabelle5[Sonstige Kosten])</f>
        <v>2520</v>
      </c>
      <c r="AD62" s="327">
        <f>SUBTOTAL(9,Tabelle5[Rechtsangelegenheiten])</f>
        <v>600</v>
      </c>
      <c r="AE62" s="327">
        <f>SUBTOTAL(109,Tabelle5[Andere Honorare])</f>
        <v>1000</v>
      </c>
      <c r="AF62" s="617">
        <f>SUBTOTAL(9,Tabelle5[Gesamt])</f>
        <v>-14320</v>
      </c>
    </row>
    <row r="63" spans="1:32" ht="19" x14ac:dyDescent="0.25">
      <c r="A63" s="11"/>
    </row>
    <row r="64" spans="1:32" ht="16" x14ac:dyDescent="0.2">
      <c r="A64" s="7"/>
      <c r="B64" s="7" t="s">
        <v>739</v>
      </c>
      <c r="D64" s="6" t="s">
        <v>723</v>
      </c>
    </row>
    <row r="65" spans="1:20" ht="20" thickBot="1" x14ac:dyDescent="0.3">
      <c r="A65" s="11"/>
    </row>
    <row r="66" spans="1:20" ht="17" thickTop="1" thickBot="1" x14ac:dyDescent="0.25">
      <c r="A66" s="94"/>
      <c r="B66" s="120"/>
      <c r="C66" s="121"/>
      <c r="D66" s="124" t="s">
        <v>639</v>
      </c>
      <c r="E66" s="95" t="s">
        <v>136</v>
      </c>
      <c r="F66" s="96" t="s">
        <v>244</v>
      </c>
      <c r="G66" s="96" t="s">
        <v>268</v>
      </c>
      <c r="H66" s="96" t="s">
        <v>294</v>
      </c>
      <c r="I66" s="97"/>
      <c r="L66" s="94"/>
      <c r="M66" s="120"/>
      <c r="N66" s="121"/>
      <c r="O66" s="124" t="s">
        <v>639</v>
      </c>
      <c r="P66" s="95" t="s">
        <v>136</v>
      </c>
      <c r="Q66" s="96" t="s">
        <v>244</v>
      </c>
      <c r="R66" s="96" t="s">
        <v>268</v>
      </c>
      <c r="S66" s="96" t="s">
        <v>294</v>
      </c>
      <c r="T66" s="97"/>
    </row>
    <row r="67" spans="1:20" ht="46" thickBot="1" x14ac:dyDescent="0.25">
      <c r="A67" s="98" t="s">
        <v>740</v>
      </c>
      <c r="B67" s="98" t="s">
        <v>741</v>
      </c>
      <c r="C67" s="123" t="s">
        <v>742</v>
      </c>
      <c r="D67" s="98" t="s">
        <v>543</v>
      </c>
      <c r="E67" s="322" t="s">
        <v>732</v>
      </c>
      <c r="F67" s="323" t="s">
        <v>627</v>
      </c>
      <c r="G67" s="323" t="s">
        <v>733</v>
      </c>
      <c r="H67" s="323" t="s">
        <v>734</v>
      </c>
      <c r="I67" s="616" t="s">
        <v>590</v>
      </c>
      <c r="L67" s="98" t="s">
        <v>740</v>
      </c>
      <c r="M67" s="98" t="s">
        <v>741</v>
      </c>
      <c r="N67" s="123" t="s">
        <v>742</v>
      </c>
      <c r="O67" s="98" t="s">
        <v>543</v>
      </c>
      <c r="P67" s="322" t="s">
        <v>732</v>
      </c>
      <c r="Q67" s="323" t="s">
        <v>627</v>
      </c>
      <c r="R67" s="323" t="s">
        <v>733</v>
      </c>
      <c r="S67" s="323" t="s">
        <v>734</v>
      </c>
      <c r="T67" s="616" t="s">
        <v>590</v>
      </c>
    </row>
    <row r="68" spans="1:20" s="67" customFormat="1" ht="140.25" customHeight="1" outlineLevel="1" x14ac:dyDescent="0.2">
      <c r="A68" s="239">
        <f>ROW(A1)</f>
        <v>1</v>
      </c>
      <c r="B68" s="901" t="s">
        <v>1208</v>
      </c>
      <c r="C68" s="84"/>
      <c r="D68" s="272"/>
      <c r="E68" s="330"/>
      <c r="F68" s="264"/>
      <c r="G68" s="264"/>
      <c r="H68" s="264"/>
      <c r="I68" s="259">
        <f t="shared" ref="I68:I75" si="10">SUM(E68:H68)</f>
        <v>0</v>
      </c>
      <c r="L68" s="239">
        <f t="shared" ref="L68:L84" si="11">ROW(A1)</f>
        <v>1</v>
      </c>
      <c r="M68" s="272" t="s">
        <v>1208</v>
      </c>
      <c r="N68" s="84"/>
      <c r="O68" s="272"/>
      <c r="P68" s="330"/>
      <c r="Q68" s="264"/>
      <c r="R68" s="264"/>
      <c r="S68" s="264"/>
      <c r="T68" s="259">
        <f t="shared" ref="T68:T75" si="12">SUM(P68:S68)</f>
        <v>0</v>
      </c>
    </row>
    <row r="69" spans="1:20" s="67" customFormat="1" outlineLevel="1" x14ac:dyDescent="0.2">
      <c r="A69" s="239">
        <f t="shared" ref="A69:A84" si="13">ROW(A2)</f>
        <v>2</v>
      </c>
      <c r="B69" s="84" t="s">
        <v>743</v>
      </c>
      <c r="C69" s="84" t="s">
        <v>744</v>
      </c>
      <c r="D69" s="84" t="s">
        <v>754</v>
      </c>
      <c r="E69" s="110">
        <v>400</v>
      </c>
      <c r="F69" s="111">
        <v>0</v>
      </c>
      <c r="G69" s="111">
        <v>0</v>
      </c>
      <c r="H69" s="111">
        <v>0</v>
      </c>
      <c r="I69" s="243">
        <f t="shared" si="10"/>
        <v>400</v>
      </c>
      <c r="L69" s="239">
        <f t="shared" si="11"/>
        <v>2</v>
      </c>
      <c r="M69" s="84" t="s">
        <v>743</v>
      </c>
      <c r="N69" s="84" t="s">
        <v>744</v>
      </c>
      <c r="O69" s="84" t="s">
        <v>754</v>
      </c>
      <c r="P69" s="110">
        <v>400</v>
      </c>
      <c r="Q69" s="111">
        <v>0</v>
      </c>
      <c r="R69" s="111">
        <v>0</v>
      </c>
      <c r="S69" s="111">
        <v>0</v>
      </c>
      <c r="T69" s="243">
        <f t="shared" si="12"/>
        <v>400</v>
      </c>
    </row>
    <row r="70" spans="1:20" s="67" customFormat="1" outlineLevel="1" x14ac:dyDescent="0.2">
      <c r="A70" s="239">
        <f t="shared" si="13"/>
        <v>3</v>
      </c>
      <c r="B70" s="84" t="s">
        <v>743</v>
      </c>
      <c r="C70" s="84" t="s">
        <v>744</v>
      </c>
      <c r="D70" s="84" t="s">
        <v>748</v>
      </c>
      <c r="E70" s="110">
        <v>800</v>
      </c>
      <c r="F70" s="111">
        <v>1500</v>
      </c>
      <c r="G70" s="111">
        <v>384</v>
      </c>
      <c r="H70" s="111">
        <v>200</v>
      </c>
      <c r="I70" s="243">
        <f t="shared" si="10"/>
        <v>2884</v>
      </c>
      <c r="L70" s="239">
        <f t="shared" si="11"/>
        <v>3</v>
      </c>
      <c r="M70" s="84" t="s">
        <v>743</v>
      </c>
      <c r="N70" s="84" t="s">
        <v>744</v>
      </c>
      <c r="O70" s="84" t="s">
        <v>748</v>
      </c>
      <c r="P70" s="110">
        <v>800</v>
      </c>
      <c r="Q70" s="111">
        <v>1500</v>
      </c>
      <c r="R70" s="111">
        <v>384</v>
      </c>
      <c r="S70" s="111">
        <v>100</v>
      </c>
      <c r="T70" s="243">
        <f t="shared" si="12"/>
        <v>2784</v>
      </c>
    </row>
    <row r="71" spans="1:20" s="67" customFormat="1" outlineLevel="1" x14ac:dyDescent="0.2">
      <c r="A71" s="239">
        <f t="shared" si="13"/>
        <v>4</v>
      </c>
      <c r="B71" s="84" t="s">
        <v>743</v>
      </c>
      <c r="C71" s="84" t="s">
        <v>744</v>
      </c>
      <c r="D71" s="84" t="s">
        <v>745</v>
      </c>
      <c r="E71" s="110">
        <v>600</v>
      </c>
      <c r="F71" s="111">
        <v>750</v>
      </c>
      <c r="G71" s="111">
        <v>192</v>
      </c>
      <c r="H71" s="111">
        <v>100</v>
      </c>
      <c r="I71" s="243">
        <f t="shared" si="10"/>
        <v>1642</v>
      </c>
      <c r="L71" s="239">
        <f t="shared" si="11"/>
        <v>4</v>
      </c>
      <c r="M71" s="84" t="s">
        <v>743</v>
      </c>
      <c r="N71" s="84" t="s">
        <v>744</v>
      </c>
      <c r="O71" s="84" t="s">
        <v>745</v>
      </c>
      <c r="P71" s="110">
        <v>600</v>
      </c>
      <c r="Q71" s="111">
        <v>750</v>
      </c>
      <c r="R71" s="111">
        <v>192</v>
      </c>
      <c r="S71" s="111">
        <v>50</v>
      </c>
      <c r="T71" s="243">
        <f t="shared" si="12"/>
        <v>1592</v>
      </c>
    </row>
    <row r="72" spans="1:20" s="67" customFormat="1" outlineLevel="1" x14ac:dyDescent="0.2">
      <c r="A72" s="239">
        <f t="shared" si="13"/>
        <v>5</v>
      </c>
      <c r="B72" s="84" t="s">
        <v>1209</v>
      </c>
      <c r="C72" s="84" t="s">
        <v>744</v>
      </c>
      <c r="D72" s="84" t="s">
        <v>745</v>
      </c>
      <c r="E72" s="110">
        <v>1800</v>
      </c>
      <c r="F72" s="111">
        <v>2250</v>
      </c>
      <c r="G72" s="111">
        <v>576</v>
      </c>
      <c r="H72" s="111">
        <v>300</v>
      </c>
      <c r="I72" s="243">
        <f t="shared" si="10"/>
        <v>4926</v>
      </c>
      <c r="L72" s="239">
        <f t="shared" si="11"/>
        <v>5</v>
      </c>
      <c r="M72" s="84" t="s">
        <v>1209</v>
      </c>
      <c r="N72" s="84" t="s">
        <v>744</v>
      </c>
      <c r="O72" s="84" t="s">
        <v>745</v>
      </c>
      <c r="P72" s="110">
        <v>1800</v>
      </c>
      <c r="Q72" s="111">
        <v>2250</v>
      </c>
      <c r="R72" s="111">
        <v>576</v>
      </c>
      <c r="S72" s="111">
        <v>150</v>
      </c>
      <c r="T72" s="243">
        <f t="shared" si="12"/>
        <v>4776</v>
      </c>
    </row>
    <row r="73" spans="1:20" s="67" customFormat="1" ht="105" customHeight="1" outlineLevel="1" x14ac:dyDescent="0.2">
      <c r="A73" s="239">
        <f t="shared" si="13"/>
        <v>6</v>
      </c>
      <c r="B73" s="272" t="s">
        <v>1210</v>
      </c>
      <c r="C73" s="84" t="s">
        <v>744</v>
      </c>
      <c r="D73" s="84" t="s">
        <v>745</v>
      </c>
      <c r="E73" s="110">
        <v>1000</v>
      </c>
      <c r="F73" s="111">
        <v>1000</v>
      </c>
      <c r="G73" s="111">
        <v>500</v>
      </c>
      <c r="H73" s="111">
        <v>200</v>
      </c>
      <c r="I73" s="243">
        <f t="shared" si="10"/>
        <v>2700</v>
      </c>
      <c r="L73" s="239">
        <f t="shared" si="11"/>
        <v>6</v>
      </c>
      <c r="M73" s="272" t="s">
        <v>1210</v>
      </c>
      <c r="N73" s="84" t="s">
        <v>744</v>
      </c>
      <c r="O73" s="84" t="s">
        <v>745</v>
      </c>
      <c r="P73" s="110">
        <v>1000</v>
      </c>
      <c r="Q73" s="111">
        <v>1000</v>
      </c>
      <c r="R73" s="111">
        <v>500</v>
      </c>
      <c r="S73" s="111">
        <v>100</v>
      </c>
      <c r="T73" s="243">
        <f t="shared" si="12"/>
        <v>2600</v>
      </c>
    </row>
    <row r="74" spans="1:20" s="67" customFormat="1" outlineLevel="1" x14ac:dyDescent="0.2">
      <c r="A74" s="239">
        <f t="shared" si="13"/>
        <v>7</v>
      </c>
      <c r="B74" s="84" t="s">
        <v>746</v>
      </c>
      <c r="C74" s="84" t="s">
        <v>747</v>
      </c>
      <c r="D74" s="84" t="s">
        <v>748</v>
      </c>
      <c r="E74" s="110">
        <v>800</v>
      </c>
      <c r="F74" s="111">
        <v>2000</v>
      </c>
      <c r="G74" s="111">
        <v>1100</v>
      </c>
      <c r="H74" s="111">
        <v>400</v>
      </c>
      <c r="I74" s="243">
        <f t="shared" si="10"/>
        <v>4300</v>
      </c>
      <c r="L74" s="239">
        <f t="shared" si="11"/>
        <v>7</v>
      </c>
      <c r="M74" s="84" t="s">
        <v>746</v>
      </c>
      <c r="N74" s="84" t="s">
        <v>747</v>
      </c>
      <c r="O74" s="84" t="s">
        <v>748</v>
      </c>
      <c r="P74" s="110">
        <v>800</v>
      </c>
      <c r="Q74" s="111">
        <v>2000</v>
      </c>
      <c r="R74" s="111">
        <v>1100</v>
      </c>
      <c r="S74" s="111">
        <v>200</v>
      </c>
      <c r="T74" s="243">
        <f t="shared" si="12"/>
        <v>4100</v>
      </c>
    </row>
    <row r="75" spans="1:20" s="67" customFormat="1" ht="30" outlineLevel="1" x14ac:dyDescent="0.2">
      <c r="A75" s="239">
        <f t="shared" si="13"/>
        <v>8</v>
      </c>
      <c r="B75" s="236" t="s">
        <v>1211</v>
      </c>
      <c r="C75" s="239"/>
      <c r="D75" s="239"/>
      <c r="E75" s="237"/>
      <c r="F75" s="238">
        <v>800</v>
      </c>
      <c r="G75" s="238">
        <v>200</v>
      </c>
      <c r="H75" s="238"/>
      <c r="I75" s="243">
        <f t="shared" si="10"/>
        <v>1000</v>
      </c>
      <c r="L75" s="239">
        <f t="shared" si="11"/>
        <v>8</v>
      </c>
      <c r="M75" s="236" t="s">
        <v>1211</v>
      </c>
      <c r="N75" s="239"/>
      <c r="O75" s="239"/>
      <c r="P75" s="237"/>
      <c r="Q75" s="238">
        <v>800</v>
      </c>
      <c r="R75" s="238">
        <v>200</v>
      </c>
      <c r="S75" s="238"/>
      <c r="T75" s="243">
        <f t="shared" si="12"/>
        <v>1000</v>
      </c>
    </row>
    <row r="76" spans="1:20" s="67" customFormat="1" outlineLevel="1" x14ac:dyDescent="0.2">
      <c r="A76" s="239">
        <f t="shared" si="13"/>
        <v>9</v>
      </c>
      <c r="B76" s="236"/>
      <c r="C76" s="239"/>
      <c r="D76" s="239"/>
      <c r="E76" s="237"/>
      <c r="F76" s="238"/>
      <c r="G76" s="238"/>
      <c r="H76" s="238"/>
      <c r="I76" s="243"/>
      <c r="L76" s="239">
        <f t="shared" si="11"/>
        <v>9</v>
      </c>
      <c r="M76" s="236"/>
      <c r="N76" s="239"/>
      <c r="O76" s="239"/>
      <c r="P76" s="237"/>
      <c r="Q76" s="238"/>
      <c r="R76" s="238"/>
      <c r="S76" s="238"/>
      <c r="T76" s="243"/>
    </row>
    <row r="77" spans="1:20" s="67" customFormat="1" outlineLevel="1" x14ac:dyDescent="0.2">
      <c r="A77" s="239">
        <f t="shared" si="13"/>
        <v>10</v>
      </c>
      <c r="B77" s="236"/>
      <c r="C77" s="239"/>
      <c r="D77" s="239"/>
      <c r="E77" s="237"/>
      <c r="F77" s="238"/>
      <c r="G77" s="238"/>
      <c r="H77" s="238"/>
      <c r="I77" s="243"/>
      <c r="L77" s="239">
        <f t="shared" si="11"/>
        <v>10</v>
      </c>
      <c r="M77" s="236"/>
      <c r="N77" s="239"/>
      <c r="O77" s="239"/>
      <c r="P77" s="237"/>
      <c r="Q77" s="238"/>
      <c r="R77" s="238"/>
      <c r="S77" s="238"/>
      <c r="T77" s="243"/>
    </row>
    <row r="78" spans="1:20" s="67" customFormat="1" outlineLevel="1" x14ac:dyDescent="0.2">
      <c r="A78" s="239">
        <f t="shared" si="13"/>
        <v>11</v>
      </c>
      <c r="B78" s="236"/>
      <c r="C78" s="239"/>
      <c r="D78" s="239"/>
      <c r="E78" s="237"/>
      <c r="F78" s="238"/>
      <c r="G78" s="238"/>
      <c r="H78" s="238"/>
      <c r="I78" s="243">
        <f>SUM(E78:H78)</f>
        <v>0</v>
      </c>
      <c r="L78" s="239">
        <f t="shared" si="11"/>
        <v>11</v>
      </c>
      <c r="M78" s="236"/>
      <c r="N78" s="239"/>
      <c r="O78" s="239"/>
      <c r="P78" s="237"/>
      <c r="Q78" s="238"/>
      <c r="R78" s="238"/>
      <c r="S78" s="238"/>
      <c r="T78" s="243">
        <f>SUM(P78:S78)</f>
        <v>0</v>
      </c>
    </row>
    <row r="79" spans="1:20" s="67" customFormat="1" outlineLevel="1" x14ac:dyDescent="0.2">
      <c r="A79" s="239">
        <f t="shared" si="13"/>
        <v>12</v>
      </c>
      <c r="B79" s="236"/>
      <c r="C79" s="239"/>
      <c r="D79" s="239"/>
      <c r="E79" s="237"/>
      <c r="F79" s="238"/>
      <c r="G79" s="238"/>
      <c r="H79" s="238"/>
      <c r="I79" s="243">
        <f>SUM(E79:H79)</f>
        <v>0</v>
      </c>
      <c r="L79" s="239">
        <f t="shared" si="11"/>
        <v>12</v>
      </c>
      <c r="M79" s="236"/>
      <c r="N79" s="239"/>
      <c r="O79" s="239"/>
      <c r="P79" s="237"/>
      <c r="Q79" s="238"/>
      <c r="R79" s="238"/>
      <c r="S79" s="238"/>
      <c r="T79" s="243">
        <f>SUM(P79:S79)</f>
        <v>0</v>
      </c>
    </row>
    <row r="80" spans="1:20" s="67" customFormat="1" outlineLevel="1" x14ac:dyDescent="0.2">
      <c r="A80" s="239">
        <f t="shared" si="13"/>
        <v>13</v>
      </c>
      <c r="B80" s="236"/>
      <c r="C80" s="239"/>
      <c r="D80" s="239"/>
      <c r="E80" s="237"/>
      <c r="F80" s="238"/>
      <c r="G80" s="238"/>
      <c r="H80" s="238"/>
      <c r="I80" s="243">
        <f>SUM(E80:H80)</f>
        <v>0</v>
      </c>
      <c r="L80" s="239">
        <f t="shared" si="11"/>
        <v>13</v>
      </c>
      <c r="M80" s="236"/>
      <c r="N80" s="239"/>
      <c r="O80" s="239"/>
      <c r="P80" s="237"/>
      <c r="Q80" s="238"/>
      <c r="R80" s="238"/>
      <c r="S80" s="238"/>
      <c r="T80" s="243">
        <f>SUM(P80:S80)</f>
        <v>0</v>
      </c>
    </row>
    <row r="81" spans="1:20" s="67" customFormat="1" outlineLevel="1" x14ac:dyDescent="0.2">
      <c r="A81" s="239">
        <f t="shared" si="13"/>
        <v>14</v>
      </c>
      <c r="B81" s="236"/>
      <c r="C81" s="239"/>
      <c r="D81" s="239"/>
      <c r="E81" s="237"/>
      <c r="F81" s="238"/>
      <c r="G81" s="238"/>
      <c r="H81" s="238"/>
      <c r="I81" s="243"/>
      <c r="L81" s="239">
        <f t="shared" si="11"/>
        <v>14</v>
      </c>
      <c r="M81" s="236"/>
      <c r="N81" s="239"/>
      <c r="O81" s="239"/>
      <c r="P81" s="237"/>
      <c r="Q81" s="238"/>
      <c r="R81" s="238"/>
      <c r="S81" s="238"/>
      <c r="T81" s="243"/>
    </row>
    <row r="82" spans="1:20" s="67" customFormat="1" outlineLevel="1" x14ac:dyDescent="0.2">
      <c r="A82" s="239">
        <f t="shared" si="13"/>
        <v>15</v>
      </c>
      <c r="B82" s="239"/>
      <c r="C82" s="239"/>
      <c r="D82" s="239"/>
      <c r="E82" s="237"/>
      <c r="F82" s="238"/>
      <c r="G82" s="238"/>
      <c r="H82" s="238"/>
      <c r="I82" s="243">
        <f>SUM(E82:H82)</f>
        <v>0</v>
      </c>
      <c r="L82" s="239">
        <f t="shared" si="11"/>
        <v>15</v>
      </c>
      <c r="M82" s="239"/>
      <c r="N82" s="239"/>
      <c r="O82" s="239"/>
      <c r="P82" s="237"/>
      <c r="Q82" s="238"/>
      <c r="R82" s="238"/>
      <c r="S82" s="238"/>
      <c r="T82" s="243">
        <f>SUM(P82:S82)</f>
        <v>0</v>
      </c>
    </row>
    <row r="83" spans="1:20" outlineLevel="1" x14ac:dyDescent="0.2">
      <c r="A83" s="239">
        <f t="shared" si="13"/>
        <v>16</v>
      </c>
      <c r="B83" s="99" t="s">
        <v>749</v>
      </c>
      <c r="C83" s="99"/>
      <c r="D83" s="99"/>
      <c r="E83" s="114">
        <f>Tabelle5[[#Totals],[Aufwandsentschädigungen]]</f>
        <v>2540</v>
      </c>
      <c r="F83" s="115">
        <f>Tabelle5[[#Totals],[Interne Reisekosten]]</f>
        <v>4900</v>
      </c>
      <c r="G83" s="115">
        <f>Tabelle5[[#Totals],[Raum + Unterkunft intern]]</f>
        <v>1500</v>
      </c>
      <c r="H83" s="115">
        <f>Tabelle5[[#Totals],[Repräsentation/Bewirtung intern]]</f>
        <v>300</v>
      </c>
      <c r="I83" s="244">
        <f>SUM(E83:H83)</f>
        <v>9240</v>
      </c>
      <c r="L83" s="84">
        <f t="shared" si="11"/>
        <v>16</v>
      </c>
      <c r="M83" s="99" t="s">
        <v>749</v>
      </c>
      <c r="N83" s="99"/>
      <c r="O83" s="99"/>
      <c r="P83" s="114">
        <f>Tabelle5[[#Totals],[Aufwandsentschädigungen]]</f>
        <v>2540</v>
      </c>
      <c r="Q83" s="115">
        <f>Tabelle5[[#Totals],[Interne Reisekosten]]</f>
        <v>4900</v>
      </c>
      <c r="R83" s="115">
        <f>Tabelle5[[#Totals],[Raum + Unterkunft intern]]</f>
        <v>1500</v>
      </c>
      <c r="S83" s="115">
        <f>Tabelle5[[#Totals],[Repräsentation/Bewirtung intern]]</f>
        <v>300</v>
      </c>
      <c r="T83" s="244">
        <f>SUM(P83:S83)</f>
        <v>9240</v>
      </c>
    </row>
    <row r="84" spans="1:20" s="67" customFormat="1" ht="15.75" customHeight="1" outlineLevel="1" thickBot="1" x14ac:dyDescent="0.25">
      <c r="A84" s="239">
        <f t="shared" si="13"/>
        <v>17</v>
      </c>
      <c r="B84" s="240" t="s">
        <v>589</v>
      </c>
      <c r="C84" s="240"/>
      <c r="D84" s="240" t="s">
        <v>750</v>
      </c>
      <c r="E84" s="241">
        <v>660</v>
      </c>
      <c r="F84" s="242">
        <v>1800</v>
      </c>
      <c r="G84" s="242">
        <v>0</v>
      </c>
      <c r="H84" s="242">
        <v>500</v>
      </c>
      <c r="I84" s="245">
        <f>SUM(E84:H84)</f>
        <v>2960</v>
      </c>
      <c r="L84" s="239">
        <f t="shared" si="11"/>
        <v>17</v>
      </c>
      <c r="M84" s="240" t="s">
        <v>589</v>
      </c>
      <c r="N84" s="240"/>
      <c r="O84" s="240" t="s">
        <v>750</v>
      </c>
      <c r="P84" s="241">
        <v>660</v>
      </c>
      <c r="Q84" s="242">
        <v>1600</v>
      </c>
      <c r="R84" s="242">
        <v>0</v>
      </c>
      <c r="S84" s="242">
        <v>20</v>
      </c>
      <c r="T84" s="245">
        <f>SUM(P84:S84)</f>
        <v>2280</v>
      </c>
    </row>
    <row r="85" spans="1:20" ht="23.25" customHeight="1" thickBot="1" x14ac:dyDescent="0.25">
      <c r="A85" s="84"/>
      <c r="B85" s="84"/>
      <c r="C85" s="84"/>
      <c r="D85" s="93" t="s">
        <v>680</v>
      </c>
      <c r="E85" s="262">
        <f>SUBTOTAL(9,Tabelle647[Aufwandsentschädigungen])</f>
        <v>8600</v>
      </c>
      <c r="F85" s="327">
        <f>SUBTOTAL(9,Tabelle647[Interne Reisekosten])</f>
        <v>15000</v>
      </c>
      <c r="G85" s="327">
        <f>SUBTOTAL(9,Tabelle647[Raum + Unterkunft intern])</f>
        <v>4452</v>
      </c>
      <c r="H85" s="327">
        <f>SUBTOTAL(9,Tabelle647[Repräsentation/Bewirtung intern])</f>
        <v>2000</v>
      </c>
      <c r="I85" s="618">
        <f>SUBTOTAL(9,Tabelle647[Gesamt])</f>
        <v>30052</v>
      </c>
      <c r="L85" s="84"/>
      <c r="M85" s="84"/>
      <c r="N85" s="84"/>
      <c r="O85" s="93" t="s">
        <v>680</v>
      </c>
      <c r="P85" s="262">
        <f>SUBTOTAL(9,Tabelle6[Aufwandsentschädigungen])</f>
        <v>8600</v>
      </c>
      <c r="Q85" s="327">
        <f>SUBTOTAL(9,Tabelle6[Interne Reisekosten])</f>
        <v>14800</v>
      </c>
      <c r="R85" s="327">
        <f>SUBTOTAL(9,Tabelle6[Raum + Unterkunft intern])</f>
        <v>4452</v>
      </c>
      <c r="S85" s="327">
        <f>SUBTOTAL(9,Tabelle6[Repräsentation/Bewirtung intern])</f>
        <v>920</v>
      </c>
      <c r="T85" s="618">
        <f>SUBTOTAL(9,Tabelle6[Gesamt])</f>
        <v>28772</v>
      </c>
    </row>
  </sheetData>
  <sheetProtection selectLockedCells="1"/>
  <hyperlinks>
    <hyperlink ref="Q45" location="WiWi!F5" display="WiWi!F5" xr:uid="{50AD2551-380C-4775-AD85-2576A487206D}"/>
    <hyperlink ref="R45" location="WiWi!F6" display="WiWi!F6" xr:uid="{04E2632F-EC61-45FD-9C6A-9B9D59CADA86}"/>
    <hyperlink ref="S45" location="WiWi!F7" display="WiWi!F7" xr:uid="{E01B4734-3FA9-4BEB-937B-33A9B4164D78}"/>
    <hyperlink ref="T62" location="WiWi!F6" display="WiWi!F6" xr:uid="{55DC297A-843B-4E22-B992-79273B552769}"/>
    <hyperlink ref="U62" location="WiWi!F7" display="WiWi!F7" xr:uid="{C952C57A-D292-4CB0-82A6-DD3DAE1E6AD3}"/>
    <hyperlink ref="V62" location="WiWi!F11" display="WiWi!F11" xr:uid="{0490472A-FBD6-4514-8BD6-33C0D3D3BB39}"/>
    <hyperlink ref="P85" location="WiWi!F11" display="WiWi!F11" xr:uid="{D46FCCE4-514A-42F0-A34C-208A1C40DB41}"/>
    <hyperlink ref="W62" location="WiWi!F12" display="WiWi!F12" xr:uid="{2FCDBC7E-6569-4457-9837-BACDFFFBC746}"/>
    <hyperlink ref="Q85" location="WiWi!F12" display="WiWi!F12" xr:uid="{4B9D2458-7A87-4292-9934-18AB276F2037}"/>
    <hyperlink ref="X62" location="WiWi!F13" display="WiWi!F13" xr:uid="{06F453B6-35FB-4BFC-9846-1E5034257023}"/>
    <hyperlink ref="R85" location="WiWi!F13" display="WiWi!F13" xr:uid="{DFE48502-05F9-4FA6-A8EE-9847BE2C7B56}"/>
    <hyperlink ref="Y62" location="WiWi!F14" display="WiWi!F14" xr:uid="{F22BAB2D-4599-443C-8A6B-FD8C21CFBFB5}"/>
    <hyperlink ref="S85" location="WiWi!F14" display="WiWi!F14" xr:uid="{472A0148-DFD3-4BEF-B878-249A74FAE0DC}"/>
    <hyperlink ref="T45" location="WiWi!F15" display="WiWi!F15" xr:uid="{A6D32032-4D06-45AF-AD93-D9FC00EBA1E2}"/>
    <hyperlink ref="U45" location="WiWi!F16" display="WiWi!F16" xr:uid="{00FA246A-550D-499A-BA7B-56E9E9112FBB}"/>
    <hyperlink ref="Z62" location="WiWi!F18" display="WiWi!F18" xr:uid="{D364A086-B8A0-4E8B-8CAF-54F0B7A4C170}"/>
    <hyperlink ref="AA62" location="WiWi!F19" display="WiWi!F19" xr:uid="{FBDDB0AD-23CC-4A59-B2DC-11A6B10B95FA}"/>
    <hyperlink ref="AB62" location="WiWi!F20" display="WiWi!F20" xr:uid="{A7701402-CCE9-4C95-A648-3E4566851181}"/>
    <hyperlink ref="V45" location="WiWi!F17" display="WiWi!F17" xr:uid="{D86858E0-09C9-42D4-82C5-FD38A8C37545}"/>
    <hyperlink ref="W45" location="WiWi!F18" display="WiWi!F18" xr:uid="{A00A5066-8D65-4894-95F0-E6BEA9B2AA56}"/>
    <hyperlink ref="X45" location="WiWi!F19" display="WiWi!F19" xr:uid="{B010B21A-C516-4C73-BC21-754157E061ED}"/>
    <hyperlink ref="Y45" location="WiWi!F20" display="WiWi!F20" xr:uid="{5121ECEF-0B38-4B1B-93FE-66FEF2F7DF6C}"/>
    <hyperlink ref="AC62" location="WiWi!F21" display="WiWi!F21" xr:uid="{C3AEE98B-3147-4EAF-B4A9-BCB8D01EC6E1}"/>
    <hyperlink ref="AD62" location="WiWi!F22" display="WiWi!F22" xr:uid="{7D135371-A326-462E-926F-CC4141F7C922}"/>
    <hyperlink ref="B11" location="Wiwi_AE_var" display="AE variabel" xr:uid="{30C845A9-9C20-4A47-BE1F-AC2B9A9D54F9}"/>
    <hyperlink ref="B12" location="Wiwi_RK_Int." display="Fahrtkosten und Verpflegungspauschalen" xr:uid="{BDBD7649-DC5A-4993-AAB5-EDE29EE4D52F}"/>
    <hyperlink ref="B13" location="Wiwi_R_U_Int." display="Raum- und Unterkunftskosten" xr:uid="{5CE1ADA5-B061-42E0-841F-201F7C370810}"/>
    <hyperlink ref="B14" location="Wiwi_Bew.Int." display="Bewirtung und Repräsentation intern" xr:uid="{07798AF0-AFC6-48E5-9B5B-4775FF115901}"/>
    <hyperlink ref="B15" location="Wiwi_Hon_I" display="Honorare Fachseminare" xr:uid="{88885822-93B4-44FD-8DF6-8A24B8B02BF1}"/>
    <hyperlink ref="B16" location="Wiwi_Hon_II" display="Andere Honorare" xr:uid="{5C4FCD9E-263F-44C5-97B3-EB0E75BF3622}"/>
    <hyperlink ref="B17" location="Wiwi_R_U_Ext." display="Ext. Reisekosten" xr:uid="{FC12C94D-4966-4A01-915E-ED794D745C4A}"/>
    <hyperlink ref="B18" location="Wiwi_Bew.Ext." display="Bewirtung und Repräsentation extern" xr:uid="{0A87DFE0-50A5-456E-BED0-9CB7AEC005E6}"/>
    <hyperlink ref="B19" location="Wiwi_R_U_Ext." display="Raum- und Unterkunftskosten Seminare und Veranst." xr:uid="{CF846485-46E4-4A68-A176-779A11B61D19}"/>
    <hyperlink ref="B20" location="Wiwi_Druck" display="Druckkosten" xr:uid="{366950C0-9654-4FA0-9A7D-CA0B6D7645E1}"/>
    <hyperlink ref="B21" location="Wiwi_Sonst." display="Sonstige Kosten (Lizenzen, Allg. Geschäftsbetrieb)" xr:uid="{153123D7-6461-4EF9-811D-598E3F9CD0DD}"/>
    <hyperlink ref="B22" location="Rechtsk.FSen" display="Rechtsangelegenheiten" xr:uid="{674DD02C-FB10-4BC6-9351-FC3AA7721D33}"/>
    <hyperlink ref="B7" location="Wiwi_Sonst_Einnahmen" display="Sonstige Einnahmen (Vorauszahlungen Bewirtung, Werbung, …)" xr:uid="{9D8BF091-C34B-489D-B7F5-4E802071AE86}"/>
    <hyperlink ref="B6" location="Wiwi_TN_Beiträge_II" display="Teilnahmebeiträge Veranstaltungen" xr:uid="{8CDA6F3D-3B21-46A0-B1CC-842EE3A2DC36}"/>
    <hyperlink ref="B5" location="Wiwi_TN_Beiträge_I" display="Teilnahmebeiträge Seminare" xr:uid="{6EA17EFA-7438-4F35-A277-3A1FECE78035}"/>
    <hyperlink ref="H11" location="AEFKWiwi_413.21" display="AEFKWiwi_413.21" xr:uid="{EE67C782-F8C9-4225-BD9B-9C51EC8B72DC}"/>
    <hyperlink ref="H12" location="AEFKWiwi_527.40" display="AEFKWiwi_527.40" xr:uid="{65E6BDCB-EFC9-4DFF-A9EF-6B1671D2F000}"/>
    <hyperlink ref="H13" location="AEFKWiwi_529.40" display="AEFKWiwi_529.40" xr:uid="{B94E1974-0E07-41E7-9C15-B34FF2CFF603}"/>
    <hyperlink ref="H14" location="AEFKWiwi_531.40" display="AEFKWiwi_531.40" xr:uid="{75EE4F34-DEEC-49EE-8EF8-1E70EEFB8773}"/>
    <hyperlink ref="H15" location="SemWiwi_551.10" display="SemWiwi_551.10" xr:uid="{7DD2DD47-00BB-4193-8861-8E99E3F46B6D}"/>
    <hyperlink ref="H17" location="SemWiwi_551.30" display="SemWiwi_551.30" xr:uid="{9C1C48BB-7073-44B3-A244-8C6156EE422A}"/>
    <hyperlink ref="H18" location="SemWiwi_551.40" display="SemWiwi_551.40" xr:uid="{8DC34F85-C142-4C6A-B477-BED95936E52A}"/>
    <hyperlink ref="H19" location="SemWiwi_551.50" display="SemWiwi_551.50" xr:uid="{92DC5613-82A5-44C9-83CF-A9CD254F0CE8}"/>
    <hyperlink ref="H20" location="MaßnWiwi_551.60" display="MaßnWiwi_551.60" xr:uid="{59C25874-9E51-4E16-952A-740EC5DEDB38}"/>
    <hyperlink ref="H21" location="MaßnWiwi_551.70" display="MaßnWiwi_551.70" xr:uid="{D0E66478-9116-42DB-97D4-9AB5CFCCD1D0}"/>
    <hyperlink ref="H22" location="MaßnWiwi_560.70" display="MaßnWiwi_560.70" xr:uid="{858C9701-EEC0-4DD6-A9EE-0BD204FD493C}"/>
    <hyperlink ref="H5" location="SemWiwi_210.10" display="SemWiwi_210.10" xr:uid="{9454C464-5670-443D-A73F-1F8176498E1F}"/>
    <hyperlink ref="H6" location="MaßnWiwi_220.10" display="MaßnWiwi_220.10" xr:uid="{56A8490D-6B27-42B0-A5CB-B94C30DBEB5A}"/>
    <hyperlink ref="H7" location="MaßnWiwi_230.10" display="MaßnWiwi_230.10" xr:uid="{2FF03881-25D5-4B92-AECA-A39B0B41A84B}"/>
    <hyperlink ref="H16" location="WiWi!AE62" display="WiWi!AE62" xr:uid="{627991C6-C43C-4235-ACD6-D8C076675D11}"/>
    <hyperlink ref="C45" location="WiWi!F5" display="WiWi!F5" xr:uid="{1D1251CE-F632-4880-BD89-7A8E8220D439}"/>
    <hyperlink ref="D45" location="WiWi!F6" display="WiWi!F6" xr:uid="{B7C7CB8E-4627-440E-B12A-E7A1FE98F732}"/>
    <hyperlink ref="E45" location="WiWi!F7" display="WiWi!F7" xr:uid="{781FED7D-1F44-4B74-9488-9F4CBFBF6F11}"/>
    <hyperlink ref="F45" location="WiWi!F15" display="WiWi!F15" xr:uid="{0137E9B8-5C7A-4905-A2CD-0F896538F4D3}"/>
    <hyperlink ref="G45" location="WiWi!F16" display="WiWi!F16" xr:uid="{8CDA03B2-57DB-46C1-B15E-22A863D3DA03}"/>
    <hyperlink ref="H45" location="WiWi!F17" display="WiWi!F17" xr:uid="{413ADAEF-932A-4B7A-B7BE-298C674AC206}"/>
    <hyperlink ref="I45" location="WiWi!F18" display="WiWi!F18" xr:uid="{6122D16B-6ADC-4D73-ADE8-C7D2156B1521}"/>
    <hyperlink ref="J45" location="WiWi!F19" display="WiWi!F19" xr:uid="{6E266360-7F8C-483E-B654-512E8CF3B7E0}"/>
    <hyperlink ref="K45" location="WiWi!F20" display="WiWi!F20" xr:uid="{4FD5AFAE-BC50-4663-8734-4471F19F300B}"/>
    <hyperlink ref="C62" location="WiWi!F6" display="WiWi!F6" xr:uid="{140BB093-CA2E-4C4E-9409-C1CD921008F1}"/>
    <hyperlink ref="D62" location="WiWi!F7" display="WiWi!F7" xr:uid="{6A5F0250-1766-4087-9CD8-72909AFDDBDF}"/>
    <hyperlink ref="E62" location="WiWi!F11" display="WiWi!F11" xr:uid="{D5A06BE9-0AD8-4612-8CD5-31DC3175A20D}"/>
    <hyperlink ref="F62" location="WiWi!F12" display="WiWi!F12" xr:uid="{52775B26-98E6-4DB6-AC52-68162390B4D6}"/>
    <hyperlink ref="G62" location="WiWi!F13" display="WiWi!F13" xr:uid="{1CBAA284-2F7E-4A8C-AC7F-74186A9EDD87}"/>
    <hyperlink ref="H62" location="WiWi!F14" display="WiWi!F14" xr:uid="{83FA76F5-95C4-4122-B122-CD229887E481}"/>
    <hyperlink ref="I62" location="WiWi!F18" display="WiWi!F18" xr:uid="{610D3669-D497-4BBF-B1E9-070559712FAF}"/>
    <hyperlink ref="J62" location="WiWi!F19" display="WiWi!F19" xr:uid="{381E17F7-D423-4D91-A625-B4A6358556BA}"/>
    <hyperlink ref="K62" location="WiWi!F20" display="WiWi!F20" xr:uid="{31AA7EAE-EA18-4D93-AEEB-9D760B3B2183}"/>
    <hyperlink ref="L62" location="WiWi!F21" display="WiWi!F21" xr:uid="{510D38A5-FF57-4DAE-A2A8-68E18B026801}"/>
    <hyperlink ref="M62" location="WiWi!F22" display="WiWi!F22" xr:uid="{E97836DE-DBBA-4A54-BD5F-F1E015723C46}"/>
    <hyperlink ref="E85" location="WiWi!F11" display="WiWi!F11" xr:uid="{524C64E4-77FA-405F-BE1A-320B74FF8A33}"/>
    <hyperlink ref="F85" location="WiWi!F12" display="WiWi!F12" xr:uid="{1E22CA4E-9393-4218-BA1C-371461BCACCC}"/>
    <hyperlink ref="G85" location="WiWi!F13" display="WiWi!F13" xr:uid="{02A49803-D15C-46F8-8F66-1392743C4D29}"/>
    <hyperlink ref="H85" location="WiWi!F14" display="WiWi!F14" xr:uid="{E997DE64-8089-45BC-834D-1E347C93B1CC}"/>
  </hyperlinks>
  <pageMargins left="0.7" right="0.7" top="0.78740157499999996" bottom="0.78740157499999996" header="0.3" footer="0.3"/>
  <pageSetup paperSize="9" orientation="landscape" r:id="rId1"/>
  <legacyDrawing r:id="rId2"/>
  <tableParts count="7">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13</vt:i4>
      </vt:variant>
      <vt:variant>
        <vt:lpstr>Benannte Bereiche</vt:lpstr>
      </vt:variant>
      <vt:variant>
        <vt:i4>330</vt:i4>
      </vt:variant>
    </vt:vector>
  </HeadingPairs>
  <TitlesOfParts>
    <vt:vector size="343" baseType="lpstr">
      <vt:lpstr>Haushalt 2023-2024</vt:lpstr>
      <vt:lpstr>Referatspläne</vt:lpstr>
      <vt:lpstr>Leistungen Dritter</vt:lpstr>
      <vt:lpstr>HHJ_2021_2022</vt:lpstr>
      <vt:lpstr>HHJ_2022_2023</vt:lpstr>
      <vt:lpstr>Aufwandsentschädigungen</vt:lpstr>
      <vt:lpstr>Mieten und Lizenzen</vt:lpstr>
      <vt:lpstr>Anschaffungsplan+BHS</vt:lpstr>
      <vt:lpstr>WiWi</vt:lpstr>
      <vt:lpstr>KSW</vt:lpstr>
      <vt:lpstr>PSY</vt:lpstr>
      <vt:lpstr>ReWi</vt:lpstr>
      <vt:lpstr>M_I</vt:lpstr>
      <vt:lpstr>AEFKKSW_413.21</vt:lpstr>
      <vt:lpstr>AEFKKSW_527.40</vt:lpstr>
      <vt:lpstr>AEFKKSW_529.40</vt:lpstr>
      <vt:lpstr>AEFKKSW_531.40</vt:lpstr>
      <vt:lpstr>AEFKM_I_413.21</vt:lpstr>
      <vt:lpstr>AEFKM_I_527.40</vt:lpstr>
      <vt:lpstr>AEFKM_I_529.40</vt:lpstr>
      <vt:lpstr>AEFKM_I_531.40</vt:lpstr>
      <vt:lpstr>AEFKPSY_413.21</vt:lpstr>
      <vt:lpstr>AEFKPSY_527.40</vt:lpstr>
      <vt:lpstr>AEFKPSY_529.40</vt:lpstr>
      <vt:lpstr>AEFKPSY_531.40</vt:lpstr>
      <vt:lpstr>AEFKRewi_413.21</vt:lpstr>
      <vt:lpstr>AEFKRewi_527.40</vt:lpstr>
      <vt:lpstr>AEFKRewi_529.40</vt:lpstr>
      <vt:lpstr>AEFKRewi_531.40</vt:lpstr>
      <vt:lpstr>KSW!AEFKWiwi_413.21</vt:lpstr>
      <vt:lpstr>M_I!AEFKWiwi_413.21</vt:lpstr>
      <vt:lpstr>PSY!AEFKWiwi_413.21</vt:lpstr>
      <vt:lpstr>ReWi!AEFKWiwi_413.21</vt:lpstr>
      <vt:lpstr>AEFKWiwi_413.21</vt:lpstr>
      <vt:lpstr>KSW!AEFKWiwi_527.40</vt:lpstr>
      <vt:lpstr>M_I!AEFKWiwi_527.40</vt:lpstr>
      <vt:lpstr>PSY!AEFKWiwi_527.40</vt:lpstr>
      <vt:lpstr>ReWi!AEFKWiwi_527.40</vt:lpstr>
      <vt:lpstr>AEFKWiwi_527.40</vt:lpstr>
      <vt:lpstr>KSW!AEFKWiwi_529.40</vt:lpstr>
      <vt:lpstr>M_I!AEFKWiwi_529.40</vt:lpstr>
      <vt:lpstr>PSY!AEFKWiwi_529.40</vt:lpstr>
      <vt:lpstr>ReWi!AEFKWiwi_529.40</vt:lpstr>
      <vt:lpstr>AEFKWiwi_529.40</vt:lpstr>
      <vt:lpstr>KSW!AEFKWiwi_531.40</vt:lpstr>
      <vt:lpstr>M_I!AEFKWiwi_531.40</vt:lpstr>
      <vt:lpstr>PSY!AEFKWiwi_531.40</vt:lpstr>
      <vt:lpstr>ReWi!AEFKWiwi_531.40</vt:lpstr>
      <vt:lpstr>AEFKWiwi_531.40</vt:lpstr>
      <vt:lpstr>AStA_Bew.Ext.</vt:lpstr>
      <vt:lpstr>AStA_Bew.Int.</vt:lpstr>
      <vt:lpstr>AStA_Druck</vt:lpstr>
      <vt:lpstr>AStA_Einn.Bew.</vt:lpstr>
      <vt:lpstr>AStA_Ext.RK</vt:lpstr>
      <vt:lpstr>AStA_Hon_I</vt:lpstr>
      <vt:lpstr>AStA_Hon_II</vt:lpstr>
      <vt:lpstr>AStA_R_U_Ext.</vt:lpstr>
      <vt:lpstr>AStA_R_U_Int.</vt:lpstr>
      <vt:lpstr>AStA_Referate</vt:lpstr>
      <vt:lpstr>AStA_RK_Int.</vt:lpstr>
      <vt:lpstr>AStA_SKP</vt:lpstr>
      <vt:lpstr>AStA_Sonst.</vt:lpstr>
      <vt:lpstr>AStA_TN_2</vt:lpstr>
      <vt:lpstr>AStA_TN_I</vt:lpstr>
      <vt:lpstr>AStA_VBG</vt:lpstr>
      <vt:lpstr>Beschäft._VBG</vt:lpstr>
      <vt:lpstr>BHS_II</vt:lpstr>
      <vt:lpstr>BR_Besch.</vt:lpstr>
      <vt:lpstr>BR_Beschäft.</vt:lpstr>
      <vt:lpstr>Bundesknappschaft</vt:lpstr>
      <vt:lpstr>Campus_Bew.</vt:lpstr>
      <vt:lpstr>Förderungen</vt:lpstr>
      <vt:lpstr>Förderungen_Sonst</vt:lpstr>
      <vt:lpstr>Gehälter_Beschäft.</vt:lpstr>
      <vt:lpstr>IT_Dienstl.</vt:lpstr>
      <vt:lpstr>IT_Mieten</vt:lpstr>
      <vt:lpstr>IT_Mieten_Ges.</vt:lpstr>
      <vt:lpstr>KSW_AE_var</vt:lpstr>
      <vt:lpstr>KSW_Bew.Ext.</vt:lpstr>
      <vt:lpstr>KSW_Bew.Int.</vt:lpstr>
      <vt:lpstr>KSW_Druck</vt:lpstr>
      <vt:lpstr>KSW_Ext.RK</vt:lpstr>
      <vt:lpstr>KSW_Hon_I</vt:lpstr>
      <vt:lpstr>KSW_Hon_II</vt:lpstr>
      <vt:lpstr>KSW_R_U_Ext.</vt:lpstr>
      <vt:lpstr>KSW_R_U_Int.</vt:lpstr>
      <vt:lpstr>KSW_RK_Int.</vt:lpstr>
      <vt:lpstr>KSW_Sonst_Einnahmen</vt:lpstr>
      <vt:lpstr>KSW_Sonst.</vt:lpstr>
      <vt:lpstr>KSW_TN_Beiträge_I</vt:lpstr>
      <vt:lpstr>KSW_TN_Beiträge_II</vt:lpstr>
      <vt:lpstr>Lerngruppen_ges.</vt:lpstr>
      <vt:lpstr>Lizenzen</vt:lpstr>
      <vt:lpstr>Lizenzen_Ges.</vt:lpstr>
      <vt:lpstr>M_I_AE_var</vt:lpstr>
      <vt:lpstr>M_I_Bew.Ext.</vt:lpstr>
      <vt:lpstr>M_I_Bew.Int.</vt:lpstr>
      <vt:lpstr>M_I_Druck</vt:lpstr>
      <vt:lpstr>M_I_Ext.RK</vt:lpstr>
      <vt:lpstr>M_I_Hon_I</vt:lpstr>
      <vt:lpstr>M_I_Hon_II</vt:lpstr>
      <vt:lpstr>M_I_R_U_Ext.</vt:lpstr>
      <vt:lpstr>M_I_R_U_Int.</vt:lpstr>
      <vt:lpstr>M_I_RK_Int.</vt:lpstr>
      <vt:lpstr>M_I_Sonst_Einnahmen</vt:lpstr>
      <vt:lpstr>M_I_Sonst.</vt:lpstr>
      <vt:lpstr>M_I_TN_Beiträge_I</vt:lpstr>
      <vt:lpstr>M_I_TN_Beiträge_II</vt:lpstr>
      <vt:lpstr>MaßnKSW_220.10</vt:lpstr>
      <vt:lpstr>MaßnKSW_230.10</vt:lpstr>
      <vt:lpstr>MaßnKSW_527.40</vt:lpstr>
      <vt:lpstr>MaßnKSW_529.40</vt:lpstr>
      <vt:lpstr>MaßnKSW_531.40</vt:lpstr>
      <vt:lpstr>MaßnKSW_551.40</vt:lpstr>
      <vt:lpstr>MaßnKSW_551.50</vt:lpstr>
      <vt:lpstr>MaßnKSW_551.60</vt:lpstr>
      <vt:lpstr>MaßnKSW_551.70</vt:lpstr>
      <vt:lpstr>MaßnKSW_560.70</vt:lpstr>
      <vt:lpstr>MaßnM_I_220.10</vt:lpstr>
      <vt:lpstr>MaßnM_I_230.10</vt:lpstr>
      <vt:lpstr>MaßnM_I_413.21</vt:lpstr>
      <vt:lpstr>MaßnM_I_527.40</vt:lpstr>
      <vt:lpstr>MaßnM_I_529.40</vt:lpstr>
      <vt:lpstr>MaßnM_I_531.40</vt:lpstr>
      <vt:lpstr>MaßnM_I_551.40</vt:lpstr>
      <vt:lpstr>MaßnM_I_551.50</vt:lpstr>
      <vt:lpstr>MaßnM_I_551.60</vt:lpstr>
      <vt:lpstr>MaßnM_I_551.70</vt:lpstr>
      <vt:lpstr>MaßnM_I_560.70</vt:lpstr>
      <vt:lpstr>MaßnPSY_220.10</vt:lpstr>
      <vt:lpstr>MaßnPSY_230.10</vt:lpstr>
      <vt:lpstr>MaßnPSY_413.21</vt:lpstr>
      <vt:lpstr>MaßnPSY_527.40</vt:lpstr>
      <vt:lpstr>MaßnPSY_529.40</vt:lpstr>
      <vt:lpstr>MaßnPSY_531.40</vt:lpstr>
      <vt:lpstr>MaßnPSY_551.40</vt:lpstr>
      <vt:lpstr>MaßnPSY_551.50</vt:lpstr>
      <vt:lpstr>MaßnPSY_551.60</vt:lpstr>
      <vt:lpstr>MaßnPSY_551.70</vt:lpstr>
      <vt:lpstr>MaßnPSY_560.70</vt:lpstr>
      <vt:lpstr>MaßnRewi_220.10</vt:lpstr>
      <vt:lpstr>MaßnRewi_230.10</vt:lpstr>
      <vt:lpstr>MaßnRewi_413.21</vt:lpstr>
      <vt:lpstr>MaßnRewi_527.40</vt:lpstr>
      <vt:lpstr>MaßnRewi_529.40</vt:lpstr>
      <vt:lpstr>MaßnRewi_531.40</vt:lpstr>
      <vt:lpstr>MaßnRewi_551.40</vt:lpstr>
      <vt:lpstr>MaßnRewi_551.50</vt:lpstr>
      <vt:lpstr>MaßnRewi_551.60</vt:lpstr>
      <vt:lpstr>MaßnRewi_551.70</vt:lpstr>
      <vt:lpstr>MaßnRewi_560.70</vt:lpstr>
      <vt:lpstr>KSW!MaßnWiwi_220.10</vt:lpstr>
      <vt:lpstr>M_I!MaßnWiwi_220.10</vt:lpstr>
      <vt:lpstr>PSY!MaßnWiwi_220.10</vt:lpstr>
      <vt:lpstr>ReWi!MaßnWiwi_220.10</vt:lpstr>
      <vt:lpstr>MaßnWiwi_220.10</vt:lpstr>
      <vt:lpstr>KSW!MaßnWiwi_230.10</vt:lpstr>
      <vt:lpstr>M_I!MaßnWiwi_230.10</vt:lpstr>
      <vt:lpstr>PSY!MaßnWiwi_230.10</vt:lpstr>
      <vt:lpstr>ReWi!MaßnWiwi_230.10</vt:lpstr>
      <vt:lpstr>MaßnWiwi_230.10</vt:lpstr>
      <vt:lpstr>KSW!MaßnWiwi_413.21</vt:lpstr>
      <vt:lpstr>M_I!MaßnWiwi_413.21</vt:lpstr>
      <vt:lpstr>PSY!MaßnWiwi_413.21</vt:lpstr>
      <vt:lpstr>ReWi!MaßnWiwi_413.21</vt:lpstr>
      <vt:lpstr>MaßnWiwi_413.21</vt:lpstr>
      <vt:lpstr>KSW!MaßnWiwi_527.40</vt:lpstr>
      <vt:lpstr>M_I!MaßnWiwi_527.40</vt:lpstr>
      <vt:lpstr>PSY!MaßnWiwi_527.40</vt:lpstr>
      <vt:lpstr>ReWi!MaßnWiwi_527.40</vt:lpstr>
      <vt:lpstr>MaßnWiwi_527.40</vt:lpstr>
      <vt:lpstr>KSW!MaßnWiwi_529.40</vt:lpstr>
      <vt:lpstr>M_I!MaßnWiwi_529.40</vt:lpstr>
      <vt:lpstr>PSY!MaßnWiwi_529.40</vt:lpstr>
      <vt:lpstr>ReWi!MaßnWiwi_529.40</vt:lpstr>
      <vt:lpstr>MaßnWiwi_529.40</vt:lpstr>
      <vt:lpstr>KSW!MaßnWiwi_531.40</vt:lpstr>
      <vt:lpstr>M_I!MaßnWiwi_531.40</vt:lpstr>
      <vt:lpstr>PSY!MaßnWiwi_531.40</vt:lpstr>
      <vt:lpstr>ReWi!MaßnWiwi_531.40</vt:lpstr>
      <vt:lpstr>MaßnWiwi_531.40</vt:lpstr>
      <vt:lpstr>KSW!MaßnWiwi_551.40</vt:lpstr>
      <vt:lpstr>M_I!MaßnWiwi_551.40</vt:lpstr>
      <vt:lpstr>PSY!MaßnWiwi_551.40</vt:lpstr>
      <vt:lpstr>ReWi!MaßnWiwi_551.40</vt:lpstr>
      <vt:lpstr>MaßnWiwi_551.40</vt:lpstr>
      <vt:lpstr>KSW!MaßnWiwi_551.50</vt:lpstr>
      <vt:lpstr>M_I!MaßnWiwi_551.50</vt:lpstr>
      <vt:lpstr>PSY!MaßnWiwi_551.50</vt:lpstr>
      <vt:lpstr>ReWi!MaßnWiwi_551.50</vt:lpstr>
      <vt:lpstr>MaßnWiwi_551.50</vt:lpstr>
      <vt:lpstr>KSW!MaßnWiwi_551.60</vt:lpstr>
      <vt:lpstr>M_I!MaßnWiwi_551.60</vt:lpstr>
      <vt:lpstr>PSY!MaßnWiwi_551.60</vt:lpstr>
      <vt:lpstr>ReWi!MaßnWiwi_551.60</vt:lpstr>
      <vt:lpstr>MaßnWiwi_551.60</vt:lpstr>
      <vt:lpstr>KSW!MaßnWiwi_551.70</vt:lpstr>
      <vt:lpstr>M_I!MaßnWiwi_551.70</vt:lpstr>
      <vt:lpstr>PSY!MaßnWiwi_551.70</vt:lpstr>
      <vt:lpstr>ReWi!MaßnWiwi_551.70</vt:lpstr>
      <vt:lpstr>MaßnWiwi_551.70</vt:lpstr>
      <vt:lpstr>KSW!MaßnWiwi_560.70</vt:lpstr>
      <vt:lpstr>M_I!MaßnWiwi_560.70</vt:lpstr>
      <vt:lpstr>PSY!MaßnWiwi_560.70</vt:lpstr>
      <vt:lpstr>ReWi!MaßnWiwi_560.70</vt:lpstr>
      <vt:lpstr>MaßnWiwi_560.70</vt:lpstr>
      <vt:lpstr>Mieten</vt:lpstr>
      <vt:lpstr>Neu_Allg.</vt:lpstr>
      <vt:lpstr>Neu_BHS</vt:lpstr>
      <vt:lpstr>Neu_EDV_Tel.</vt:lpstr>
      <vt:lpstr>Neuanschaff_Allg</vt:lpstr>
      <vt:lpstr>Neuanschaff_EDV</vt:lpstr>
      <vt:lpstr>Psy_AE_var</vt:lpstr>
      <vt:lpstr>Psy_Bew.Ext.</vt:lpstr>
      <vt:lpstr>Psy_Bew.Int.</vt:lpstr>
      <vt:lpstr>Psy_Druck</vt:lpstr>
      <vt:lpstr>Psy_Ext.RK</vt:lpstr>
      <vt:lpstr>PSY_Hon_I</vt:lpstr>
      <vt:lpstr>Psy_Hon_II</vt:lpstr>
      <vt:lpstr>Psy_R_U_Ext.</vt:lpstr>
      <vt:lpstr>Psy_R_U_Int.</vt:lpstr>
      <vt:lpstr>Psy_RK_Int.</vt:lpstr>
      <vt:lpstr>Psy_Sonst_Einnahmen</vt:lpstr>
      <vt:lpstr>Psy_Sonst.</vt:lpstr>
      <vt:lpstr>Psy_TN_Beiträge_I</vt:lpstr>
      <vt:lpstr>Psy_TN_Beiträge_II</vt:lpstr>
      <vt:lpstr>Rechtsk.FSen</vt:lpstr>
      <vt:lpstr>Renov_Inst</vt:lpstr>
      <vt:lpstr>Renov_Inst.</vt:lpstr>
      <vt:lpstr>Rewi_AE_var</vt:lpstr>
      <vt:lpstr>Rewi_Bew.Ext.</vt:lpstr>
      <vt:lpstr>Rewi_Bew.Int.</vt:lpstr>
      <vt:lpstr>Rewi_Druck</vt:lpstr>
      <vt:lpstr>Rewi_Ext.RK</vt:lpstr>
      <vt:lpstr>Rewi_Hon_I</vt:lpstr>
      <vt:lpstr>Rewi_Hon_II</vt:lpstr>
      <vt:lpstr>Rewi_R_U_Ext.</vt:lpstr>
      <vt:lpstr>Rewi_R_U_Int.</vt:lpstr>
      <vt:lpstr>Rewi_RK_Int.</vt:lpstr>
      <vt:lpstr>Rewi_Sonst_Einnahmen</vt:lpstr>
      <vt:lpstr>Rewi_Sonst.</vt:lpstr>
      <vt:lpstr>Rewi_TN_Beiträge_I</vt:lpstr>
      <vt:lpstr>Rewi_TN_Beiträge_II</vt:lpstr>
      <vt:lpstr>SemKSW_210.10</vt:lpstr>
      <vt:lpstr>SemKSW_220.10</vt:lpstr>
      <vt:lpstr>SemKSW_230.10</vt:lpstr>
      <vt:lpstr>SemKSW_551.10</vt:lpstr>
      <vt:lpstr>SemKSW_551.20</vt:lpstr>
      <vt:lpstr>SemKSW_551.30</vt:lpstr>
      <vt:lpstr>SemKSW_551.40</vt:lpstr>
      <vt:lpstr>SemKSW_551.50</vt:lpstr>
      <vt:lpstr>SemKSW_551.60</vt:lpstr>
      <vt:lpstr>SemM_I_210.10</vt:lpstr>
      <vt:lpstr>SemM_I_220.10</vt:lpstr>
      <vt:lpstr>SemM_I_230.10</vt:lpstr>
      <vt:lpstr>SemM_I_551.10</vt:lpstr>
      <vt:lpstr>SemM_I_551.20</vt:lpstr>
      <vt:lpstr>SemM_I_551.30</vt:lpstr>
      <vt:lpstr>SemM_I_551.40</vt:lpstr>
      <vt:lpstr>SemM_I_551.50</vt:lpstr>
      <vt:lpstr>SemM_I_551.60</vt:lpstr>
      <vt:lpstr>SemPSY_210.10</vt:lpstr>
      <vt:lpstr>SemPSY_220.10</vt:lpstr>
      <vt:lpstr>SemPSY_230.10</vt:lpstr>
      <vt:lpstr>SemPSY_551.10</vt:lpstr>
      <vt:lpstr>SemPSY_551.20</vt:lpstr>
      <vt:lpstr>SemPSY_551.30</vt:lpstr>
      <vt:lpstr>SemPSY_551.40</vt:lpstr>
      <vt:lpstr>SemPSY_551.50</vt:lpstr>
      <vt:lpstr>SemPSY_551.60</vt:lpstr>
      <vt:lpstr>SemRewi_210.10</vt:lpstr>
      <vt:lpstr>SemRewi_220.10</vt:lpstr>
      <vt:lpstr>SemRewi_230.10</vt:lpstr>
      <vt:lpstr>SemRewi_551.10</vt:lpstr>
      <vt:lpstr>SemRewi_551.20</vt:lpstr>
      <vt:lpstr>SemRewi_551.30</vt:lpstr>
      <vt:lpstr>SemRewi_551.40</vt:lpstr>
      <vt:lpstr>SemRewi_551.50</vt:lpstr>
      <vt:lpstr>SemRewi_551.60</vt:lpstr>
      <vt:lpstr>KSW!SemWiwi_210.10</vt:lpstr>
      <vt:lpstr>M_I!SemWiwi_210.10</vt:lpstr>
      <vt:lpstr>PSY!SemWiwi_210.10</vt:lpstr>
      <vt:lpstr>ReWi!SemWiwi_210.10</vt:lpstr>
      <vt:lpstr>SemWiwi_210.10</vt:lpstr>
      <vt:lpstr>KSW!SemWiwi_220.10</vt:lpstr>
      <vt:lpstr>M_I!SemWiwi_220.10</vt:lpstr>
      <vt:lpstr>PSY!SemWiwi_220.10</vt:lpstr>
      <vt:lpstr>ReWi!SemWiwi_220.10</vt:lpstr>
      <vt:lpstr>SemWiwi_220.10</vt:lpstr>
      <vt:lpstr>KSW!SemWiwi_230.10</vt:lpstr>
      <vt:lpstr>M_I!SemWiwi_230.10</vt:lpstr>
      <vt:lpstr>PSY!SemWiwi_230.10</vt:lpstr>
      <vt:lpstr>ReWi!SemWiwi_230.10</vt:lpstr>
      <vt:lpstr>SemWiwi_230.10</vt:lpstr>
      <vt:lpstr>KSW!SemWiwi_551.10</vt:lpstr>
      <vt:lpstr>M_I!SemWiwi_551.10</vt:lpstr>
      <vt:lpstr>PSY!SemWiwi_551.10</vt:lpstr>
      <vt:lpstr>ReWi!SemWiwi_551.10</vt:lpstr>
      <vt:lpstr>SemWiwi_551.10</vt:lpstr>
      <vt:lpstr>KSW!SemWiwi_551.20</vt:lpstr>
      <vt:lpstr>M_I!SemWiwi_551.20</vt:lpstr>
      <vt:lpstr>PSY!SemWiwi_551.20</vt:lpstr>
      <vt:lpstr>ReWi!SemWiwi_551.20</vt:lpstr>
      <vt:lpstr>SemWiwi_551.20</vt:lpstr>
      <vt:lpstr>KSW!SemWiwi_551.30</vt:lpstr>
      <vt:lpstr>M_I!SemWiwi_551.30</vt:lpstr>
      <vt:lpstr>PSY!SemWiwi_551.30</vt:lpstr>
      <vt:lpstr>ReWi!SemWiwi_551.30</vt:lpstr>
      <vt:lpstr>SemWiwi_551.30</vt:lpstr>
      <vt:lpstr>KSW!SemWiwi_551.40</vt:lpstr>
      <vt:lpstr>M_I!SemWiwi_551.40</vt:lpstr>
      <vt:lpstr>PSY!SemWiwi_551.40</vt:lpstr>
      <vt:lpstr>ReWi!SemWiwi_551.40</vt:lpstr>
      <vt:lpstr>SemWiwi_551.40</vt:lpstr>
      <vt:lpstr>KSW!SemWiwi_551.50</vt:lpstr>
      <vt:lpstr>M_I!SemWiwi_551.50</vt:lpstr>
      <vt:lpstr>PSY!SemWiwi_551.50</vt:lpstr>
      <vt:lpstr>ReWi!SemWiwi_551.50</vt:lpstr>
      <vt:lpstr>SemWiwi_551.50</vt:lpstr>
      <vt:lpstr>KSW!SemWiwi_551.60</vt:lpstr>
      <vt:lpstr>M_I!SemWiwi_551.60</vt:lpstr>
      <vt:lpstr>PSY!SemWiwi_551.60</vt:lpstr>
      <vt:lpstr>ReWi!SemWiwi_551.60</vt:lpstr>
      <vt:lpstr>SemWiwi_551.60</vt:lpstr>
      <vt:lpstr>SozVers_Besch.</vt:lpstr>
      <vt:lpstr>SozVers_Beschäft.</vt:lpstr>
      <vt:lpstr>Steuern_Besch.</vt:lpstr>
      <vt:lpstr>Steuern_Beschäft.</vt:lpstr>
      <vt:lpstr>Wiwi_AE_var</vt:lpstr>
      <vt:lpstr>Wiwi_Bew.Ext.</vt:lpstr>
      <vt:lpstr>Wiwi_Bew.Int.</vt:lpstr>
      <vt:lpstr>Wiwi_Druck</vt:lpstr>
      <vt:lpstr>Wiwi_Ext.RK</vt:lpstr>
      <vt:lpstr>Wiwi_Hon_I</vt:lpstr>
      <vt:lpstr>Wiwi_Hon_II</vt:lpstr>
      <vt:lpstr>Wiwi_R_U_Ext.</vt:lpstr>
      <vt:lpstr>Wiwi_R_U_Int.</vt:lpstr>
      <vt:lpstr>Wiwi_RK_Int.</vt:lpstr>
      <vt:lpstr>Wiwi_Sonst_Einnahmen</vt:lpstr>
      <vt:lpstr>Wiwi_Sonst.</vt:lpstr>
      <vt:lpstr>Wiwi_TN_Beiträge_I</vt:lpstr>
      <vt:lpstr>Wiwi_TN_Beiträge_II</vt:lpstr>
      <vt:lpstr>Zuschüsse_Campus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Carsten Fedderke</dc:creator>
  <cp:keywords/>
  <dc:description/>
  <cp:lastModifiedBy>Joana Kleindienst</cp:lastModifiedBy>
  <cp:revision/>
  <dcterms:created xsi:type="dcterms:W3CDTF">2022-03-31T14:13:39Z</dcterms:created>
  <dcterms:modified xsi:type="dcterms:W3CDTF">2023-11-02T11:20:18Z</dcterms:modified>
  <cp:category/>
  <cp:contentStatus/>
</cp:coreProperties>
</file>