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1"/>
  <workbookPr codeName="DieseArbeitsmappe" hidePivotFieldList="1" defaultThemeVersion="166925"/>
  <mc:AlternateContent xmlns:mc="http://schemas.openxmlformats.org/markup-compatibility/2006">
    <mc:Choice Requires="x15">
      <x15ac:absPath xmlns:x15ac="http://schemas.microsoft.com/office/spreadsheetml/2010/11/ac" url="E:\"/>
    </mc:Choice>
  </mc:AlternateContent>
  <xr:revisionPtr revIDLastSave="0" documentId="8_{87E3D542-73D0-4C9A-993D-DD6ABC0A6FE1}" xr6:coauthVersionLast="47" xr6:coauthVersionMax="47" xr10:uidLastSave="{00000000-0000-0000-0000-000000000000}"/>
  <bookViews>
    <workbookView xWindow="-108" yWindow="-108" windowWidth="23256" windowHeight="13896" tabRatio="899" activeTab="11" xr2:uid="{BF42AEAE-8F11-4DCE-AB28-78D8014C6371}"/>
  </bookViews>
  <sheets>
    <sheet name="Haushalt" sheetId="1" r:id="rId1"/>
    <sheet name="209050 Sonderrücklagen Steuern" sheetId="88" r:id="rId2"/>
    <sheet name="Vermerk_Korrektur_SV_Knappschaf" sheetId="87" r:id="rId3"/>
    <sheet name="HHJ_2024_2025" sheetId="71" r:id="rId4"/>
    <sheet name="Kommentar" sheetId="86" state="hidden" r:id="rId5"/>
    <sheet name="Fachschaften_Gesamt" sheetId="75" r:id="rId6"/>
    <sheet name="WiWi" sheetId="79" r:id="rId7"/>
    <sheet name="KSW" sheetId="80" r:id="rId8"/>
    <sheet name="Psych" sheetId="82" r:id="rId9"/>
    <sheet name="ReWi" sheetId="84" r:id="rId10"/>
    <sheet name="Meti" sheetId="85" r:id="rId11"/>
    <sheet name="AE_Zuweisung_Fachschaften" sheetId="77" r:id="rId12"/>
    <sheet name="AE_Zuweisung_SP_HHA_AG" sheetId="78" r:id="rId13"/>
    <sheet name="Vergütung_AStA" sheetId="73" r:id="rId14"/>
    <sheet name="AE_Unigremien" sheetId="81" r:id="rId15"/>
    <sheet name="Deckungsfähigkeit (alt)" sheetId="74" r:id="rId16"/>
  </sheets>
  <externalReferences>
    <externalReference r:id="rId17"/>
  </externalReferences>
  <definedNames>
    <definedName name="AEFKKSW_413.21">#REF!</definedName>
    <definedName name="AEFKKSW_527.40">#REF!</definedName>
    <definedName name="AEFKKSW_529.40">#REF!</definedName>
    <definedName name="AEFKKSW_531.40">#REF!</definedName>
    <definedName name="AEFKM_I_413.21">#REF!</definedName>
    <definedName name="AEFKM_I_527.40">#REF!</definedName>
    <definedName name="AEFKM_I_529.40">#REF!</definedName>
    <definedName name="AEFKM_I_531.40">#REF!</definedName>
    <definedName name="AEFKPSY_413.21">#REF!</definedName>
    <definedName name="AEFKPSY_527.40">#REF!</definedName>
    <definedName name="AEFKPSY_529.40">#REF!</definedName>
    <definedName name="AEFKPSY_531.40">#REF!</definedName>
    <definedName name="AEFKRewi_413.21">#REF!</definedName>
    <definedName name="AEFKRewi_527.40">#REF!</definedName>
    <definedName name="AEFKRewi_529.40">#REF!</definedName>
    <definedName name="AEFKRewi_531.40">#REF!</definedName>
    <definedName name="AEFKWiwi_413.21">#REF!</definedName>
    <definedName name="AEFKWiwi_527.40">#REF!</definedName>
    <definedName name="AEFKWiwi_529.40">#REF!</definedName>
    <definedName name="AEFKWiwi_531.40">#REF!</definedName>
    <definedName name="AStA_Bew.Ext.">Haushalt!$D$178</definedName>
    <definedName name="AStA_Bew.Int.">Haushalt!$D$158</definedName>
    <definedName name="AStA_Druck">Haushalt!$D$180</definedName>
    <definedName name="AStA_Einn.Bew.">Haushalt!$D$24</definedName>
    <definedName name="AStA_Ext.RK">Haushalt!$D$177</definedName>
    <definedName name="AStA_Hon_I">Haushalt!$D$175</definedName>
    <definedName name="AStA_Hon_II">Haushalt!$D$176</definedName>
    <definedName name="AStA_R_U_Ext.">Haushalt!$D$179</definedName>
    <definedName name="AStA_R_U_Int.">Haushalt!$D$147</definedName>
    <definedName name="AStA_Referate">Haushalt!$D$97</definedName>
    <definedName name="AStA_RK_Int.">Haushalt!$D$135</definedName>
    <definedName name="AStA_SKP">Haushalt!$D$99</definedName>
    <definedName name="AStA_Sonst.">Haushalt!$D$181</definedName>
    <definedName name="AStA_TN_2">Haushalt!$D$20</definedName>
    <definedName name="AStA_TN_I">Haushalt!$D$19</definedName>
    <definedName name="AStA_VBG">Haushalt!$D$100</definedName>
    <definedName name="Beschäft._VBG">Haushalt!$D$107</definedName>
    <definedName name="BHS_II">#REF!</definedName>
    <definedName name="BR_Besch.">Haushalt!$D$106</definedName>
    <definedName name="BR_Beschäft.">Haushalt!$D$106</definedName>
    <definedName name="Bundesknappschaft">Haushalt!$D$98</definedName>
    <definedName name="Campus_Bew.">#REF!</definedName>
    <definedName name="Förderungen">Haushalt!$D$27</definedName>
    <definedName name="Förderungen_Sonst">Haushalt!$D$30</definedName>
    <definedName name="Gehälter_Beschäft.">Haushalt!$D$103</definedName>
    <definedName name="IT_Dienstl.">#REF!</definedName>
    <definedName name="IT_Mieten">Haushalt!$D$125</definedName>
    <definedName name="IT_Mieten_Ges.">#REF!</definedName>
    <definedName name="KSW_AE_var">Haushalt!$D$90</definedName>
    <definedName name="KSW_Bew.Ext.">Haushalt!$D$204</definedName>
    <definedName name="KSW_Bew.Int.">Haushalt!$D$162</definedName>
    <definedName name="KSW_Druck">Haushalt!$D$216</definedName>
    <definedName name="KSW_Ext.RK">Haushalt!$D$198</definedName>
    <definedName name="KSW_Hon_I">Haushalt!$D$186</definedName>
    <definedName name="KSW_Hon_II">Haushalt!$D$192</definedName>
    <definedName name="KSW_R_U_Ext.">Haushalt!$D$210</definedName>
    <definedName name="KSW_R_U_Int.">Haushalt!$D$150</definedName>
    <definedName name="KSW_RK_Int.">Haushalt!$D$138</definedName>
    <definedName name="KSW_Sonst.">Haushalt!$D$222</definedName>
    <definedName name="KSW_Sonst_Einnahmen">Haushalt!$D$53</definedName>
    <definedName name="KSW_TN_Beiträge_I">Haushalt!$D$39</definedName>
    <definedName name="KSW_TN_Beiträge_II">Haushalt!$D$46</definedName>
    <definedName name="Lerngruppen_ges.">#REF!</definedName>
    <definedName name="Lizenzen">Haushalt!$D$123</definedName>
    <definedName name="Lizenzen_Ges.">#REF!</definedName>
    <definedName name="M_I_AE_var">Haushalt!$D$93</definedName>
    <definedName name="M_I_Bew.Ext.">Haushalt!$D$207</definedName>
    <definedName name="M_I_Bew.Int.">Haushalt!$D$165</definedName>
    <definedName name="M_I_Druck">Haushalt!$D$219</definedName>
    <definedName name="M_I_Ext.RK">Haushalt!$D$201</definedName>
    <definedName name="M_I_Hon_I">Haushalt!$D$189</definedName>
    <definedName name="M_I_Hon_II">Haushalt!$D$195</definedName>
    <definedName name="M_I_R_U_Ext.">Haushalt!$D$213</definedName>
    <definedName name="M_I_R_U_Int.">Haushalt!$D$153</definedName>
    <definedName name="M_I_RK_Int.">Haushalt!$D$141</definedName>
    <definedName name="M_I_Sonst.">Haushalt!$D$225</definedName>
    <definedName name="M_I_Sonst_Einnahmen">Haushalt!$D$56</definedName>
    <definedName name="M_I_TN_Beiträge_I">Haushalt!$D$42</definedName>
    <definedName name="M_I_TN_Beiträge_II">Haushalt!$D$49</definedName>
    <definedName name="MaßnKSW_220.10">#REF!</definedName>
    <definedName name="MaßnKSW_230.10">#REF!</definedName>
    <definedName name="MaßnKSW_527.40">#REF!</definedName>
    <definedName name="MaßnKSW_529.40">#REF!</definedName>
    <definedName name="MaßnKSW_531.40">#REF!</definedName>
    <definedName name="MaßnKSW_551.40">#REF!</definedName>
    <definedName name="MaßnKSW_551.50">#REF!</definedName>
    <definedName name="MaßnKSW_551.60">#REF!</definedName>
    <definedName name="MaßnKSW_551.70">#REF!</definedName>
    <definedName name="MaßnKSW_560.70">#REF!</definedName>
    <definedName name="MaßnM_I_220.10">#REF!</definedName>
    <definedName name="MaßnM_I_230.10">#REF!</definedName>
    <definedName name="MaßnM_I_413.21">#REF!</definedName>
    <definedName name="MaßnM_I_527.40">#REF!</definedName>
    <definedName name="MaßnM_I_529.40">#REF!</definedName>
    <definedName name="MaßnM_I_531.40">#REF!</definedName>
    <definedName name="MaßnM_I_551.40">#REF!</definedName>
    <definedName name="MaßnM_I_551.50">#REF!</definedName>
    <definedName name="MaßnM_I_551.60">#REF!</definedName>
    <definedName name="MaßnM_I_551.70">#REF!</definedName>
    <definedName name="MaßnM_I_560.70">#REF!</definedName>
    <definedName name="MaßnPSY_220.10">#REF!</definedName>
    <definedName name="MaßnPSY_230.10">#REF!</definedName>
    <definedName name="MaßnPSY_413.21">#REF!</definedName>
    <definedName name="MaßnPSY_527.40">#REF!</definedName>
    <definedName name="MaßnPSY_529.40">#REF!</definedName>
    <definedName name="MaßnPSY_531.40">#REF!</definedName>
    <definedName name="MaßnPSY_551.40">#REF!</definedName>
    <definedName name="MaßnPSY_551.50">#REF!</definedName>
    <definedName name="MaßnPSY_551.60">#REF!</definedName>
    <definedName name="MaßnPSY_551.70">#REF!</definedName>
    <definedName name="MaßnPSY_560.70">#REF!</definedName>
    <definedName name="MaßnRewi_220.10">#REF!</definedName>
    <definedName name="MaßnRewi_230.10">#REF!</definedName>
    <definedName name="MaßnRewi_413.21">#REF!</definedName>
    <definedName name="MaßnRewi_527.40">#REF!</definedName>
    <definedName name="MaßnRewi_529.40">#REF!</definedName>
    <definedName name="MaßnRewi_531.40">#REF!</definedName>
    <definedName name="MaßnRewi_551.40">#REF!</definedName>
    <definedName name="MaßnRewi_551.50">#REF!</definedName>
    <definedName name="MaßnRewi_551.60">#REF!</definedName>
    <definedName name="MaßnRewi_551.70">#REF!</definedName>
    <definedName name="MaßnRewi_560.70">#REF!</definedName>
    <definedName name="MaßnWiwi_220.10">#REF!</definedName>
    <definedName name="MaßnWiwi_230.10">#REF!</definedName>
    <definedName name="MaßnWiwi_413.21">#REF!</definedName>
    <definedName name="MaßnWiwi_527.40">#REF!</definedName>
    <definedName name="MaßnWiwi_529.40">#REF!</definedName>
    <definedName name="MaßnWiwi_531.40">#REF!</definedName>
    <definedName name="MaßnWiwi_551.40">#REF!</definedName>
    <definedName name="MaßnWiwi_551.50">#REF!</definedName>
    <definedName name="MaßnWiwi_551.60">#REF!</definedName>
    <definedName name="MaßnWiwi_551.70">#REF!</definedName>
    <definedName name="MaßnWiwi_560.70">#REF!</definedName>
    <definedName name="Mieten">#REF!</definedName>
    <definedName name="Neu_Allg.">#REF!</definedName>
    <definedName name="Neu_BHS">#REF!</definedName>
    <definedName name="Neu_EDV_Tel.">#REF!</definedName>
    <definedName name="Neuanschaff_Allg">Haushalt!$D$128</definedName>
    <definedName name="Neuanschaff_EDV">Haushalt!$D$129</definedName>
    <definedName name="Psy_AE_var">Haushalt!$D$91</definedName>
    <definedName name="Psy_Bew.Ext.">Haushalt!$D$205</definedName>
    <definedName name="Psy_Bew.Int.">Haushalt!$D$163</definedName>
    <definedName name="Psy_Druck">Haushalt!$D$217</definedName>
    <definedName name="Psy_Ext.RK">Haushalt!$D$199</definedName>
    <definedName name="PSY_Hon_I">Haushalt!$D$187</definedName>
    <definedName name="Psy_Hon_II">Haushalt!$D$193</definedName>
    <definedName name="Psy_R_U_Ext.">Haushalt!$D$211</definedName>
    <definedName name="Psy_R_U_Int.">Haushalt!$D$151</definedName>
    <definedName name="Psy_RK_Int.">Haushalt!$D$139</definedName>
    <definedName name="Psy_Sonst.">Haushalt!$D$223</definedName>
    <definedName name="Psy_Sonst_Einnahmen">Haushalt!$D$54</definedName>
    <definedName name="Psy_TN_Beiträge_I">Haushalt!$D$40</definedName>
    <definedName name="Psy_TN_Beiträge_II">Haushalt!$D$47</definedName>
    <definedName name="Rechtsk.FSen">Haushalt!$D$235</definedName>
    <definedName name="Renov_Inst">Haushalt!$D$130</definedName>
    <definedName name="Renov_Inst.">#REF!</definedName>
    <definedName name="Rewi_AE_var">Haushalt!$D$92</definedName>
    <definedName name="Rewi_Bew.Ext.">Haushalt!$D$206</definedName>
    <definedName name="Rewi_Bew.Int.">Haushalt!$D$164</definedName>
    <definedName name="Rewi_Druck">Haushalt!$D$218</definedName>
    <definedName name="Rewi_Ext.RK">Haushalt!$D$200</definedName>
    <definedName name="Rewi_Hon_I">Haushalt!$D$188</definedName>
    <definedName name="Rewi_Hon_II">Haushalt!$D$194</definedName>
    <definedName name="Rewi_R_U_Ext.">Haushalt!$D$212</definedName>
    <definedName name="Rewi_R_U_Int.">Haushalt!$D$152</definedName>
    <definedName name="Rewi_RK_Int.">Haushalt!$D$140</definedName>
    <definedName name="Rewi_Sonst.">Haushalt!$D$224</definedName>
    <definedName name="Rewi_Sonst_Einnahmen">Haushalt!$D$55</definedName>
    <definedName name="Rewi_TN_Beiträge_I">Haushalt!$D$41</definedName>
    <definedName name="Rewi_TN_Beiträge_II">Haushalt!$D$48</definedName>
    <definedName name="SemKSW_210.10">#REF!</definedName>
    <definedName name="SemKSW_220.10">#REF!</definedName>
    <definedName name="SemKSW_230.10">#REF!</definedName>
    <definedName name="SemKSW_551.10">#REF!</definedName>
    <definedName name="SemKSW_551.20">#REF!</definedName>
    <definedName name="SemKSW_551.30">#REF!</definedName>
    <definedName name="SemKSW_551.40">#REF!</definedName>
    <definedName name="SemKSW_551.50">#REF!</definedName>
    <definedName name="SemKSW_551.60">#REF!</definedName>
    <definedName name="SemM_I_210.10">#REF!</definedName>
    <definedName name="SemM_I_220.10">#REF!</definedName>
    <definedName name="SemM_I_230.10">#REF!</definedName>
    <definedName name="SemM_I_551.10">#REF!</definedName>
    <definedName name="SemM_I_551.20">#REF!</definedName>
    <definedName name="SemM_I_551.30">#REF!</definedName>
    <definedName name="SemM_I_551.40">#REF!</definedName>
    <definedName name="SemM_I_551.50">#REF!</definedName>
    <definedName name="SemM_I_551.60">#REF!</definedName>
    <definedName name="SemPSY_210.10">#REF!</definedName>
    <definedName name="SemPSY_220.10">#REF!</definedName>
    <definedName name="SemPSY_230.10">#REF!</definedName>
    <definedName name="SemPSY_551.10">#REF!</definedName>
    <definedName name="SemPSY_551.20">#REF!</definedName>
    <definedName name="SemPSY_551.30">#REF!</definedName>
    <definedName name="SemPSY_551.40">#REF!</definedName>
    <definedName name="SemPSY_551.50">#REF!</definedName>
    <definedName name="SemPSY_551.60">#REF!</definedName>
    <definedName name="SemRewi_210.10">#REF!</definedName>
    <definedName name="SemRewi_220.10">#REF!</definedName>
    <definedName name="SemRewi_230.10">#REF!</definedName>
    <definedName name="SemRewi_551.10">#REF!</definedName>
    <definedName name="SemRewi_551.20">#REF!</definedName>
    <definedName name="SemRewi_551.30">#REF!</definedName>
    <definedName name="SemRewi_551.40">#REF!</definedName>
    <definedName name="SemRewi_551.50">#REF!</definedName>
    <definedName name="SemRewi_551.60">#REF!</definedName>
    <definedName name="SemWiwi_210.10">#REF!</definedName>
    <definedName name="SemWiwi_220.10">#REF!</definedName>
    <definedName name="SemWiwi_230.10">#REF!</definedName>
    <definedName name="SemWiwi_551.10">#REF!</definedName>
    <definedName name="SemWiwi_551.20">#REF!</definedName>
    <definedName name="SemWiwi_551.30">#REF!</definedName>
    <definedName name="SemWiwi_551.40">#REF!</definedName>
    <definedName name="SemWiwi_551.50">#REF!</definedName>
    <definedName name="SemWiwi_551.60">#REF!</definedName>
    <definedName name="SozVers_Besch.">Haushalt!$D$105</definedName>
    <definedName name="SozVers_Beschäft.">Haushalt!$D$105</definedName>
    <definedName name="Steuern_Besch.">Haushalt!$D$104</definedName>
    <definedName name="Steuern_Beschäft.">Haushalt!$D$104</definedName>
    <definedName name="Wiwi_AE_var">Haushalt!$D$89</definedName>
    <definedName name="Wiwi_Bew.Ext.">Haushalt!$D$203</definedName>
    <definedName name="Wiwi_Bew.Int.">Haushalt!$D$161</definedName>
    <definedName name="Wiwi_Druck">Haushalt!$D$215</definedName>
    <definedName name="Wiwi_Ext.RK">Haushalt!$D$197</definedName>
    <definedName name="Wiwi_Hon_I">Haushalt!$D$185</definedName>
    <definedName name="Wiwi_Hon_II">Haushalt!$D$191</definedName>
    <definedName name="Wiwi_R_U_Ext.">Haushalt!$D$209</definedName>
    <definedName name="Wiwi_R_U_Int.">Haushalt!$D$149</definedName>
    <definedName name="Wiwi_RK_Int.">Haushalt!$D$137</definedName>
    <definedName name="Wiwi_Sonst.">Haushalt!$D$221</definedName>
    <definedName name="Wiwi_Sonst_Einnahmen">Haushalt!$D$52</definedName>
    <definedName name="Wiwi_TN_Beiträge_I">Haushalt!$D$38</definedName>
    <definedName name="Wiwi_TN_Beiträge_II">Haushalt!$D$45</definedName>
    <definedName name="Zuschüsse_Campus">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N270" i="1" l="1"/>
  <c r="T14" i="85"/>
  <c r="T97" i="75"/>
  <c r="T80" i="75"/>
  <c r="T14" i="84" s="1"/>
  <c r="T61" i="75"/>
  <c r="T13" i="82" s="1"/>
  <c r="T44" i="75"/>
  <c r="T13" i="80" s="1"/>
  <c r="T25" i="75"/>
  <c r="T13" i="79" s="1"/>
  <c r="W105" i="1"/>
  <c r="W98" i="1"/>
  <c r="W153" i="1"/>
  <c r="W146" i="1"/>
  <c r="W141" i="1"/>
  <c r="W134" i="1"/>
  <c r="W103" i="1"/>
  <c r="V105" i="1"/>
  <c r="V98" i="1"/>
  <c r="W149" i="1"/>
  <c r="W241" i="1"/>
  <c r="W206" i="1"/>
  <c r="W152" i="1"/>
  <c r="W151" i="1"/>
  <c r="W150" i="1"/>
  <c r="W147" i="1"/>
  <c r="W140" i="1"/>
  <c r="W139" i="1"/>
  <c r="W138" i="1"/>
  <c r="W137" i="1"/>
  <c r="W135" i="1"/>
  <c r="W133" i="1"/>
  <c r="W118" i="1"/>
  <c r="W88" i="1"/>
  <c r="V241" i="1"/>
  <c r="V147" i="1"/>
  <c r="V146" i="1"/>
  <c r="V141" i="1"/>
  <c r="V140" i="1"/>
  <c r="V137" i="1"/>
  <c r="V135" i="1"/>
  <c r="V134" i="1"/>
  <c r="V133" i="1"/>
  <c r="V118" i="1"/>
  <c r="V103" i="1"/>
  <c r="V179" i="1"/>
  <c r="S14" i="85"/>
  <c r="S97" i="75"/>
  <c r="S80" i="75"/>
  <c r="S14" i="84" s="1"/>
  <c r="S61" i="75"/>
  <c r="S13" i="82" s="1"/>
  <c r="S44" i="75"/>
  <c r="S13" i="80" s="1"/>
  <c r="S25" i="75"/>
  <c r="S13" i="79" s="1"/>
  <c r="V206" i="1"/>
  <c r="V153" i="1"/>
  <c r="V152" i="1"/>
  <c r="V151" i="1"/>
  <c r="V150" i="1"/>
  <c r="V149" i="1"/>
  <c r="V139" i="1"/>
  <c r="V138" i="1"/>
  <c r="V88" i="1"/>
  <c r="U146" i="1"/>
  <c r="U137" i="1"/>
  <c r="U135" i="1"/>
  <c r="R80" i="75"/>
  <c r="R14" i="84" s="1"/>
  <c r="R61" i="75"/>
  <c r="R13" i="82" s="1"/>
  <c r="R44" i="75"/>
  <c r="R97" i="75"/>
  <c r="R14" i="85"/>
  <c r="R13" i="80"/>
  <c r="U105" i="1"/>
  <c r="U241" i="1"/>
  <c r="U206" i="1"/>
  <c r="U179" i="1"/>
  <c r="U153" i="1"/>
  <c r="U152" i="1"/>
  <c r="U151" i="1"/>
  <c r="U150" i="1"/>
  <c r="U149" i="1"/>
  <c r="U147" i="1"/>
  <c r="U141" i="1"/>
  <c r="U140" i="1"/>
  <c r="U139" i="1"/>
  <c r="U138" i="1"/>
  <c r="U134" i="1"/>
  <c r="U133" i="1"/>
  <c r="U118" i="1"/>
  <c r="U103" i="1"/>
  <c r="U98" i="1"/>
  <c r="U88" i="1"/>
  <c r="Q14" i="85"/>
  <c r="Q97" i="75"/>
  <c r="Q80" i="75"/>
  <c r="Q14" i="84" s="1"/>
  <c r="Q61" i="75"/>
  <c r="Q13" i="82" s="1"/>
  <c r="Q44" i="75"/>
  <c r="Q13" i="80" s="1"/>
  <c r="R25" i="75"/>
  <c r="R13" i="79" s="1"/>
  <c r="T147" i="1" l="1"/>
  <c r="T146" i="1"/>
  <c r="T140" i="1"/>
  <c r="T139" i="1"/>
  <c r="T138" i="1"/>
  <c r="T135" i="1"/>
  <c r="T134" i="1"/>
  <c r="T133" i="1"/>
  <c r="T105" i="1"/>
  <c r="T103" i="1"/>
  <c r="T98" i="1"/>
  <c r="T241" i="1"/>
  <c r="T88" i="1"/>
  <c r="T153" i="1"/>
  <c r="T152" i="1"/>
  <c r="T150" i="1"/>
  <c r="T149" i="1"/>
  <c r="T206" i="1"/>
  <c r="T179" i="1"/>
  <c r="T141" i="1"/>
  <c r="T137" i="1"/>
  <c r="T118" i="1"/>
  <c r="S206" i="1"/>
  <c r="S179" i="1"/>
  <c r="S147" i="1"/>
  <c r="S135" i="1"/>
  <c r="S134" i="1"/>
  <c r="S133" i="1"/>
  <c r="S105" i="1"/>
  <c r="S98" i="1"/>
  <c r="S103" i="1"/>
  <c r="S241" i="1"/>
  <c r="S153" i="1"/>
  <c r="S152" i="1"/>
  <c r="S146" i="1"/>
  <c r="S141" i="1"/>
  <c r="S140" i="1"/>
  <c r="S118" i="1"/>
  <c r="P14" i="85"/>
  <c r="P97" i="75"/>
  <c r="P80" i="75"/>
  <c r="P14" i="84" s="1"/>
  <c r="P61" i="75"/>
  <c r="P44" i="75"/>
  <c r="P13" i="80" s="1"/>
  <c r="Q25" i="75"/>
  <c r="Q13" i="79" s="1"/>
  <c r="P25" i="75"/>
  <c r="P13" i="79" s="1"/>
  <c r="S150" i="1"/>
  <c r="S149" i="1"/>
  <c r="S137" i="1"/>
  <c r="S88" i="1"/>
  <c r="R105" i="1"/>
  <c r="R98" i="1"/>
  <c r="R150" i="1" l="1"/>
  <c r="R241" i="1"/>
  <c r="R179" i="1"/>
  <c r="R152" i="1"/>
  <c r="R147" i="1"/>
  <c r="R146" i="1"/>
  <c r="R140" i="1"/>
  <c r="R137" i="1"/>
  <c r="R135" i="1"/>
  <c r="R134" i="1"/>
  <c r="R133" i="1"/>
  <c r="R103" i="1"/>
  <c r="R214" i="1"/>
  <c r="R149" i="1"/>
  <c r="R118" i="1"/>
  <c r="O14" i="85" l="1"/>
  <c r="O80" i="75"/>
  <c r="O14" i="84" s="1"/>
  <c r="O61" i="75"/>
  <c r="N61" i="75"/>
  <c r="N13" i="82" s="1"/>
  <c r="M61" i="75"/>
  <c r="O44" i="75"/>
  <c r="O13" i="80" s="1"/>
  <c r="O25" i="75"/>
  <c r="O13" i="79" s="1"/>
  <c r="Q105" i="1"/>
  <c r="Q241" i="1"/>
  <c r="R88" i="1"/>
  <c r="Q179" i="1"/>
  <c r="Q152" i="1"/>
  <c r="Q150" i="1"/>
  <c r="Q149" i="1"/>
  <c r="Q147" i="1"/>
  <c r="Q146" i="1"/>
  <c r="Q140" i="1"/>
  <c r="Q137" i="1"/>
  <c r="Q135" i="1"/>
  <c r="Q134" i="1"/>
  <c r="Q133" i="1"/>
  <c r="Q118" i="1"/>
  <c r="Q103" i="1"/>
  <c r="Q98" i="1"/>
  <c r="Q88" i="1"/>
  <c r="N14" i="85"/>
  <c r="M14" i="85"/>
  <c r="N44" i="75"/>
  <c r="N13" i="80" s="1"/>
  <c r="N80" i="75"/>
  <c r="N14" i="84" s="1"/>
  <c r="M13" i="82"/>
  <c r="N25" i="75"/>
  <c r="N13" i="79" s="1"/>
  <c r="G6" i="88"/>
  <c r="G7" i="88" s="1"/>
  <c r="P241" i="1"/>
  <c r="P179" i="1"/>
  <c r="P152" i="1"/>
  <c r="P149" i="1"/>
  <c r="P147" i="1"/>
  <c r="P146" i="1"/>
  <c r="P140" i="1"/>
  <c r="P137" i="1"/>
  <c r="P135" i="1"/>
  <c r="P134" i="1"/>
  <c r="P133" i="1"/>
  <c r="L14" i="85"/>
  <c r="L80" i="75"/>
  <c r="M80" i="75"/>
  <c r="M14" i="84" s="1"/>
  <c r="M25" i="75"/>
  <c r="M13" i="79" s="1"/>
  <c r="P105" i="1"/>
  <c r="P98" i="1"/>
  <c r="P150" i="1"/>
  <c r="P103" i="1"/>
  <c r="P88" i="1"/>
  <c r="O98" i="1"/>
  <c r="O105" i="1"/>
  <c r="O140" i="1" l="1"/>
  <c r="O146" i="1"/>
  <c r="O241" i="1"/>
  <c r="O152" i="1"/>
  <c r="O147" i="1"/>
  <c r="O135" i="1"/>
  <c r="O134" i="1"/>
  <c r="O103" i="1"/>
  <c r="K25" i="85"/>
  <c r="K24" i="85"/>
  <c r="K23" i="85"/>
  <c r="K22" i="85"/>
  <c r="K21" i="85"/>
  <c r="K20" i="85"/>
  <c r="K19" i="85"/>
  <c r="K18" i="85"/>
  <c r="K17" i="85"/>
  <c r="K16" i="85"/>
  <c r="K15" i="85"/>
  <c r="K14" i="85"/>
  <c r="K13" i="85"/>
  <c r="K26" i="85" s="1"/>
  <c r="K25" i="84"/>
  <c r="K24" i="84"/>
  <c r="K23" i="84"/>
  <c r="K22" i="84"/>
  <c r="K21" i="84"/>
  <c r="K20" i="84"/>
  <c r="K19" i="84"/>
  <c r="K18" i="84"/>
  <c r="K17" i="84"/>
  <c r="K16" i="84"/>
  <c r="K15" i="84"/>
  <c r="K14" i="84"/>
  <c r="K13" i="84"/>
  <c r="K26" i="84" s="1"/>
  <c r="K25" i="82"/>
  <c r="K24" i="82"/>
  <c r="K23" i="82"/>
  <c r="K22" i="82"/>
  <c r="K21" i="82"/>
  <c r="K20" i="82"/>
  <c r="K19" i="82"/>
  <c r="K18" i="82"/>
  <c r="K17" i="82"/>
  <c r="K16" i="82"/>
  <c r="K15" i="82"/>
  <c r="K14" i="82"/>
  <c r="K13" i="82"/>
  <c r="K12" i="82"/>
  <c r="K24" i="80"/>
  <c r="K23" i="80"/>
  <c r="K22" i="80"/>
  <c r="K21" i="80"/>
  <c r="K20" i="80"/>
  <c r="K19" i="80"/>
  <c r="K18" i="80"/>
  <c r="K17" i="80"/>
  <c r="K16" i="80"/>
  <c r="K15" i="80"/>
  <c r="K14" i="80"/>
  <c r="K13" i="80"/>
  <c r="K12" i="80"/>
  <c r="K25" i="80" s="1"/>
  <c r="K24" i="79"/>
  <c r="K23" i="79"/>
  <c r="K22" i="79"/>
  <c r="K21" i="79"/>
  <c r="K20" i="79"/>
  <c r="K19" i="79"/>
  <c r="K18" i="79"/>
  <c r="K17" i="79"/>
  <c r="K16" i="79"/>
  <c r="K15" i="79"/>
  <c r="K14" i="79"/>
  <c r="K13" i="79"/>
  <c r="K12" i="79"/>
  <c r="K25" i="79" s="1"/>
  <c r="K109" i="75"/>
  <c r="K92" i="75"/>
  <c r="K73" i="75"/>
  <c r="K56" i="75"/>
  <c r="K37" i="75"/>
  <c r="K112" i="75" s="1"/>
  <c r="K20" i="75"/>
  <c r="K8" i="85" s="1"/>
  <c r="K19" i="75"/>
  <c r="K7" i="85" s="1"/>
  <c r="K18" i="75"/>
  <c r="K17" i="75"/>
  <c r="K8" i="84" s="1"/>
  <c r="K16" i="75"/>
  <c r="K7" i="84" s="1"/>
  <c r="K15" i="75"/>
  <c r="K14" i="75"/>
  <c r="K8" i="82" s="1"/>
  <c r="K13" i="75"/>
  <c r="K12" i="75"/>
  <c r="K9" i="75"/>
  <c r="K6" i="80" s="1"/>
  <c r="K11" i="75"/>
  <c r="K8" i="80" s="1"/>
  <c r="K10" i="75"/>
  <c r="K7" i="80" s="1"/>
  <c r="K8" i="75"/>
  <c r="K8" i="79" s="1"/>
  <c r="K7" i="75"/>
  <c r="K7" i="79" s="1"/>
  <c r="K6" i="75"/>
  <c r="K9" i="80" l="1"/>
  <c r="K26" i="80" s="1"/>
  <c r="K93" i="75"/>
  <c r="K6" i="84"/>
  <c r="K9" i="84" s="1"/>
  <c r="K27" i="84" s="1"/>
  <c r="K110" i="75"/>
  <c r="K6" i="85"/>
  <c r="K9" i="85" s="1"/>
  <c r="K27" i="85" s="1"/>
  <c r="K57" i="75"/>
  <c r="K7" i="82"/>
  <c r="K21" i="75"/>
  <c r="K113" i="75" s="1"/>
  <c r="K114" i="75" s="1"/>
  <c r="K6" i="82"/>
  <c r="K9" i="82" s="1"/>
  <c r="K26" i="82" s="1"/>
  <c r="K74" i="75"/>
  <c r="K6" i="79"/>
  <c r="K9" i="79" s="1"/>
  <c r="K26" i="79" s="1"/>
  <c r="K38" i="75"/>
  <c r="O137" i="1"/>
  <c r="O133" i="1"/>
  <c r="O61" i="1"/>
  <c r="O150" i="1"/>
  <c r="O88" i="1"/>
  <c r="O79" i="1"/>
  <c r="N86" i="1"/>
  <c r="N302" i="1" l="1"/>
  <c r="N274" i="1" l="1"/>
  <c r="N269" i="1"/>
  <c r="N275" i="1"/>
  <c r="N265" i="1"/>
  <c r="N261" i="1"/>
  <c r="N251" i="1"/>
  <c r="N238" i="1"/>
  <c r="N228" i="1"/>
  <c r="N220" i="1"/>
  <c r="N214" i="1"/>
  <c r="N208" i="1"/>
  <c r="N202" i="1"/>
  <c r="N196" i="1"/>
  <c r="N190" i="1"/>
  <c r="N184" i="1"/>
  <c r="N174" i="1"/>
  <c r="N168" i="1"/>
  <c r="N160" i="1"/>
  <c r="N156" i="1" s="1"/>
  <c r="N148" i="1"/>
  <c r="N144" i="1" s="1"/>
  <c r="N136" i="1"/>
  <c r="N132" i="1" s="1"/>
  <c r="N127" i="1"/>
  <c r="N117" i="1"/>
  <c r="N109" i="1"/>
  <c r="N102" i="1"/>
  <c r="N96" i="1"/>
  <c r="N7" i="1"/>
  <c r="N11" i="1"/>
  <c r="N18" i="1"/>
  <c r="N23" i="1"/>
  <c r="N27" i="1"/>
  <c r="N32" i="1"/>
  <c r="N79" i="1"/>
  <c r="N70" i="1"/>
  <c r="N66" i="1"/>
  <c r="N61" i="1"/>
  <c r="W90" i="75"/>
  <c r="W24" i="84" s="1"/>
  <c r="W35" i="75"/>
  <c r="W23" i="79" s="1"/>
  <c r="W47" i="75"/>
  <c r="W16" i="80" s="1"/>
  <c r="W28" i="75"/>
  <c r="W16" i="79" s="1"/>
  <c r="W27" i="75"/>
  <c r="W15" i="79" s="1"/>
  <c r="W81" i="75"/>
  <c r="W15" i="84" s="1"/>
  <c r="W26" i="75"/>
  <c r="W14" i="79" s="1"/>
  <c r="W99" i="75"/>
  <c r="W16" i="85" s="1"/>
  <c r="W82" i="75"/>
  <c r="W16" i="84" s="1"/>
  <c r="W46" i="75"/>
  <c r="W15" i="80" s="1"/>
  <c r="W98" i="75"/>
  <c r="W15" i="85" s="1"/>
  <c r="W45" i="75"/>
  <c r="W14" i="80" s="1"/>
  <c r="W13" i="80"/>
  <c r="W8" i="80"/>
  <c r="W7" i="80"/>
  <c r="W8" i="79"/>
  <c r="W7" i="79"/>
  <c r="W108" i="75"/>
  <c r="W25" i="85" s="1"/>
  <c r="W107" i="75"/>
  <c r="W24" i="85" s="1"/>
  <c r="W106" i="75"/>
  <c r="W23" i="85" s="1"/>
  <c r="W105" i="75"/>
  <c r="W22" i="85" s="1"/>
  <c r="W104" i="75"/>
  <c r="W21" i="85" s="1"/>
  <c r="W103" i="75"/>
  <c r="W20" i="85" s="1"/>
  <c r="W102" i="75"/>
  <c r="W19" i="85" s="1"/>
  <c r="W101" i="75"/>
  <c r="W18" i="85" s="1"/>
  <c r="W100" i="75"/>
  <c r="W17" i="85" s="1"/>
  <c r="W14" i="85"/>
  <c r="W91" i="75"/>
  <c r="W25" i="84" s="1"/>
  <c r="W89" i="75"/>
  <c r="W23" i="84" s="1"/>
  <c r="W88" i="75"/>
  <c r="W22" i="84" s="1"/>
  <c r="W87" i="75"/>
  <c r="W21" i="84" s="1"/>
  <c r="W86" i="75"/>
  <c r="W20" i="84" s="1"/>
  <c r="W85" i="75"/>
  <c r="W19" i="84" s="1"/>
  <c r="W84" i="75"/>
  <c r="W18" i="84" s="1"/>
  <c r="W83" i="75"/>
  <c r="W17" i="84" s="1"/>
  <c r="W72" i="75"/>
  <c r="W24" i="82" s="1"/>
  <c r="W71" i="75"/>
  <c r="W23" i="82" s="1"/>
  <c r="W70" i="75"/>
  <c r="W22" i="82" s="1"/>
  <c r="W69" i="75"/>
  <c r="W21" i="82" s="1"/>
  <c r="W68" i="75"/>
  <c r="W20" i="82" s="1"/>
  <c r="W67" i="75"/>
  <c r="W19" i="82" s="1"/>
  <c r="W66" i="75"/>
  <c r="W18" i="82" s="1"/>
  <c r="W65" i="75"/>
  <c r="W17" i="82" s="1"/>
  <c r="W64" i="75"/>
  <c r="W16" i="82" s="1"/>
  <c r="W63" i="75"/>
  <c r="W15" i="82" s="1"/>
  <c r="W62" i="75"/>
  <c r="W14" i="82" s="1"/>
  <c r="W55" i="75"/>
  <c r="W24" i="80" s="1"/>
  <c r="W54" i="75"/>
  <c r="W23" i="80" s="1"/>
  <c r="W53" i="75"/>
  <c r="W22" i="80" s="1"/>
  <c r="W52" i="75"/>
  <c r="W21" i="80" s="1"/>
  <c r="W51" i="75"/>
  <c r="W20" i="80" s="1"/>
  <c r="W50" i="75"/>
  <c r="W19" i="80" s="1"/>
  <c r="W49" i="75"/>
  <c r="W18" i="80" s="1"/>
  <c r="W48" i="75"/>
  <c r="W17" i="80" s="1"/>
  <c r="W36" i="75"/>
  <c r="W24" i="79" s="1"/>
  <c r="W34" i="75"/>
  <c r="W22" i="79" s="1"/>
  <c r="W33" i="75"/>
  <c r="W21" i="79" s="1"/>
  <c r="W32" i="75"/>
  <c r="W20" i="79" s="1"/>
  <c r="W31" i="75"/>
  <c r="W19" i="79" s="1"/>
  <c r="W30" i="75"/>
  <c r="W18" i="79" s="1"/>
  <c r="W29" i="75"/>
  <c r="W17" i="79" s="1"/>
  <c r="W18" i="75"/>
  <c r="W6" i="85" s="1"/>
  <c r="W15" i="75"/>
  <c r="W6" i="84" s="1"/>
  <c r="W12" i="75"/>
  <c r="W6" i="82" s="1"/>
  <c r="W9" i="75"/>
  <c r="W6" i="80" s="1"/>
  <c r="W6" i="75"/>
  <c r="W6" i="79" s="1"/>
  <c r="V90" i="75"/>
  <c r="V24" i="84" s="1"/>
  <c r="V35" i="75"/>
  <c r="V23" i="79" s="1"/>
  <c r="V99" i="75"/>
  <c r="V16" i="85" s="1"/>
  <c r="V82" i="75"/>
  <c r="V16" i="84" s="1"/>
  <c r="V46" i="75"/>
  <c r="V15" i="80" s="1"/>
  <c r="V27" i="75"/>
  <c r="V15" i="79" s="1"/>
  <c r="V26" i="75"/>
  <c r="V14" i="79" s="1"/>
  <c r="V107" i="75"/>
  <c r="V24" i="85" s="1"/>
  <c r="V28" i="75"/>
  <c r="V16" i="79" s="1"/>
  <c r="V98" i="75"/>
  <c r="V15" i="85" s="1"/>
  <c r="V81" i="75"/>
  <c r="V15" i="84" s="1"/>
  <c r="V45" i="75"/>
  <c r="V14" i="80" s="1"/>
  <c r="V8" i="80"/>
  <c r="V7" i="80"/>
  <c r="V8" i="79"/>
  <c r="V7" i="79"/>
  <c r="V108" i="75"/>
  <c r="V25" i="85" s="1"/>
  <c r="V106" i="75"/>
  <c r="V23" i="85" s="1"/>
  <c r="V105" i="75"/>
  <c r="V22" i="85" s="1"/>
  <c r="V104" i="75"/>
  <c r="V21" i="85" s="1"/>
  <c r="V103" i="75"/>
  <c r="V20" i="85" s="1"/>
  <c r="V102" i="75"/>
  <c r="V19" i="85" s="1"/>
  <c r="V101" i="75"/>
  <c r="V18" i="85" s="1"/>
  <c r="V100" i="75"/>
  <c r="V17" i="85" s="1"/>
  <c r="V91" i="75"/>
  <c r="V25" i="84" s="1"/>
  <c r="V89" i="75"/>
  <c r="V23" i="84" s="1"/>
  <c r="V88" i="75"/>
  <c r="V22" i="84" s="1"/>
  <c r="V87" i="75"/>
  <c r="V21" i="84" s="1"/>
  <c r="V86" i="75"/>
  <c r="V20" i="84" s="1"/>
  <c r="V85" i="75"/>
  <c r="V19" i="84" s="1"/>
  <c r="V84" i="75"/>
  <c r="V18" i="84" s="1"/>
  <c r="V83" i="75"/>
  <c r="V17" i="84" s="1"/>
  <c r="V72" i="75"/>
  <c r="V24" i="82" s="1"/>
  <c r="V71" i="75"/>
  <c r="V23" i="82" s="1"/>
  <c r="V70" i="75"/>
  <c r="V22" i="82" s="1"/>
  <c r="V69" i="75"/>
  <c r="V21" i="82" s="1"/>
  <c r="V68" i="75"/>
  <c r="V20" i="82" s="1"/>
  <c r="V67" i="75"/>
  <c r="V19" i="82" s="1"/>
  <c r="V66" i="75"/>
  <c r="V18" i="82" s="1"/>
  <c r="V65" i="75"/>
  <c r="V17" i="82" s="1"/>
  <c r="V64" i="75"/>
  <c r="V16" i="82" s="1"/>
  <c r="V63" i="75"/>
  <c r="V15" i="82" s="1"/>
  <c r="V62" i="75"/>
  <c r="V14" i="82" s="1"/>
  <c r="V55" i="75"/>
  <c r="V24" i="80" s="1"/>
  <c r="V54" i="75"/>
  <c r="V23" i="80" s="1"/>
  <c r="V53" i="75"/>
  <c r="V22" i="80" s="1"/>
  <c r="V52" i="75"/>
  <c r="V21" i="80" s="1"/>
  <c r="V51" i="75"/>
  <c r="V20" i="80" s="1"/>
  <c r="V50" i="75"/>
  <c r="V19" i="80" s="1"/>
  <c r="V49" i="75"/>
  <c r="V18" i="80" s="1"/>
  <c r="V48" i="75"/>
  <c r="V17" i="80" s="1"/>
  <c r="V47" i="75"/>
  <c r="V16" i="80" s="1"/>
  <c r="V36" i="75"/>
  <c r="V24" i="79" s="1"/>
  <c r="V34" i="75"/>
  <c r="V22" i="79" s="1"/>
  <c r="V33" i="75"/>
  <c r="V21" i="79" s="1"/>
  <c r="V32" i="75"/>
  <c r="V20" i="79" s="1"/>
  <c r="V31" i="75"/>
  <c r="V19" i="79" s="1"/>
  <c r="V30" i="75"/>
  <c r="V18" i="79" s="1"/>
  <c r="V29" i="75"/>
  <c r="V17" i="79" s="1"/>
  <c r="V18" i="75"/>
  <c r="V6" i="85" s="1"/>
  <c r="V15" i="75"/>
  <c r="V6" i="84" s="1"/>
  <c r="V12" i="75"/>
  <c r="V6" i="82" s="1"/>
  <c r="V9" i="75"/>
  <c r="V6" i="80" s="1"/>
  <c r="V6" i="75"/>
  <c r="V6" i="79" s="1"/>
  <c r="U81" i="75"/>
  <c r="U15" i="84" s="1"/>
  <c r="U35" i="75"/>
  <c r="U23" i="79" s="1"/>
  <c r="U26" i="75"/>
  <c r="U14" i="79" s="1"/>
  <c r="U107" i="75"/>
  <c r="U24" i="85" s="1"/>
  <c r="U90" i="75"/>
  <c r="U24" i="84" s="1"/>
  <c r="U98" i="75"/>
  <c r="U15" i="85" s="1"/>
  <c r="U45" i="75"/>
  <c r="U14" i="80" s="1"/>
  <c r="U8" i="80"/>
  <c r="U7" i="80"/>
  <c r="U8" i="79"/>
  <c r="U7" i="79"/>
  <c r="U108" i="75"/>
  <c r="U25" i="85" s="1"/>
  <c r="U106" i="75"/>
  <c r="U23" i="85" s="1"/>
  <c r="U105" i="75"/>
  <c r="U22" i="85" s="1"/>
  <c r="U104" i="75"/>
  <c r="U21" i="85" s="1"/>
  <c r="U103" i="75"/>
  <c r="U20" i="85" s="1"/>
  <c r="U102" i="75"/>
  <c r="U19" i="85" s="1"/>
  <c r="U101" i="75"/>
  <c r="U18" i="85" s="1"/>
  <c r="U100" i="75"/>
  <c r="U17" i="85" s="1"/>
  <c r="U99" i="75"/>
  <c r="U16" i="85" s="1"/>
  <c r="U91" i="75"/>
  <c r="U25" i="84" s="1"/>
  <c r="U89" i="75"/>
  <c r="U23" i="84" s="1"/>
  <c r="U88" i="75"/>
  <c r="U22" i="84" s="1"/>
  <c r="U87" i="75"/>
  <c r="U21" i="84" s="1"/>
  <c r="U86" i="75"/>
  <c r="U20" i="84" s="1"/>
  <c r="U85" i="75"/>
  <c r="U19" i="84" s="1"/>
  <c r="U84" i="75"/>
  <c r="U18" i="84" s="1"/>
  <c r="U83" i="75"/>
  <c r="U17" i="84" s="1"/>
  <c r="U82" i="75"/>
  <c r="U16" i="84" s="1"/>
  <c r="U72" i="75"/>
  <c r="U24" i="82" s="1"/>
  <c r="U71" i="75"/>
  <c r="U23" i="82" s="1"/>
  <c r="U70" i="75"/>
  <c r="U22" i="82" s="1"/>
  <c r="U69" i="75"/>
  <c r="U21" i="82" s="1"/>
  <c r="U68" i="75"/>
  <c r="U20" i="82" s="1"/>
  <c r="U67" i="75"/>
  <c r="U19" i="82" s="1"/>
  <c r="U66" i="75"/>
  <c r="U18" i="82" s="1"/>
  <c r="U65" i="75"/>
  <c r="U17" i="82" s="1"/>
  <c r="U64" i="75"/>
  <c r="U16" i="82" s="1"/>
  <c r="U63" i="75"/>
  <c r="U15" i="82" s="1"/>
  <c r="U62" i="75"/>
  <c r="U14" i="82" s="1"/>
  <c r="U55" i="75"/>
  <c r="U24" i="80" s="1"/>
  <c r="U54" i="75"/>
  <c r="U23" i="80" s="1"/>
  <c r="U53" i="75"/>
  <c r="U22" i="80" s="1"/>
  <c r="U52" i="75"/>
  <c r="U21" i="80" s="1"/>
  <c r="U51" i="75"/>
  <c r="U20" i="80" s="1"/>
  <c r="U50" i="75"/>
  <c r="U19" i="80" s="1"/>
  <c r="U49" i="75"/>
  <c r="U18" i="80" s="1"/>
  <c r="U48" i="75"/>
  <c r="U17" i="80" s="1"/>
  <c r="U47" i="75"/>
  <c r="U16" i="80" s="1"/>
  <c r="U46" i="75"/>
  <c r="U15" i="80" s="1"/>
  <c r="U36" i="75"/>
  <c r="U24" i="79" s="1"/>
  <c r="U34" i="75"/>
  <c r="U22" i="79" s="1"/>
  <c r="U33" i="75"/>
  <c r="U21" i="79" s="1"/>
  <c r="U32" i="75"/>
  <c r="U20" i="79" s="1"/>
  <c r="U31" i="75"/>
  <c r="U19" i="79" s="1"/>
  <c r="U30" i="75"/>
  <c r="U18" i="79" s="1"/>
  <c r="U29" i="75"/>
  <c r="U17" i="79" s="1"/>
  <c r="U27" i="75"/>
  <c r="U15" i="79" s="1"/>
  <c r="U18" i="75"/>
  <c r="U6" i="85" s="1"/>
  <c r="U15" i="75"/>
  <c r="U6" i="84" s="1"/>
  <c r="U12" i="75"/>
  <c r="U6" i="82" s="1"/>
  <c r="U9" i="75"/>
  <c r="U6" i="80" s="1"/>
  <c r="U6" i="75"/>
  <c r="U6" i="79" s="1"/>
  <c r="T107" i="75"/>
  <c r="T24" i="85" s="1"/>
  <c r="T90" i="75"/>
  <c r="T24" i="84" s="1"/>
  <c r="T35" i="75"/>
  <c r="T23" i="79" s="1"/>
  <c r="T28" i="75"/>
  <c r="T16" i="79" s="1"/>
  <c r="T8" i="80"/>
  <c r="T7" i="80"/>
  <c r="T8" i="79"/>
  <c r="T7" i="79"/>
  <c r="T108" i="75"/>
  <c r="T25" i="85" s="1"/>
  <c r="T106" i="75"/>
  <c r="T23" i="85" s="1"/>
  <c r="T105" i="75"/>
  <c r="T22" i="85" s="1"/>
  <c r="T104" i="75"/>
  <c r="T21" i="85" s="1"/>
  <c r="T103" i="75"/>
  <c r="T20" i="85" s="1"/>
  <c r="T102" i="75"/>
  <c r="T19" i="85" s="1"/>
  <c r="T101" i="75"/>
  <c r="T18" i="85" s="1"/>
  <c r="T100" i="75"/>
  <c r="T17" i="85" s="1"/>
  <c r="T99" i="75"/>
  <c r="T16" i="85" s="1"/>
  <c r="T98" i="75"/>
  <c r="T15" i="85" s="1"/>
  <c r="T91" i="75"/>
  <c r="T25" i="84" s="1"/>
  <c r="T89" i="75"/>
  <c r="T23" i="84" s="1"/>
  <c r="T88" i="75"/>
  <c r="T22" i="84" s="1"/>
  <c r="T87" i="75"/>
  <c r="T21" i="84" s="1"/>
  <c r="T86" i="75"/>
  <c r="T20" i="84" s="1"/>
  <c r="T85" i="75"/>
  <c r="T19" i="84" s="1"/>
  <c r="T84" i="75"/>
  <c r="T18" i="84" s="1"/>
  <c r="T83" i="75"/>
  <c r="T17" i="84" s="1"/>
  <c r="T82" i="75"/>
  <c r="T16" i="84" s="1"/>
  <c r="T72" i="75"/>
  <c r="T24" i="82" s="1"/>
  <c r="T71" i="75"/>
  <c r="T23" i="82" s="1"/>
  <c r="T70" i="75"/>
  <c r="T22" i="82" s="1"/>
  <c r="T69" i="75"/>
  <c r="T21" i="82" s="1"/>
  <c r="T68" i="75"/>
  <c r="T20" i="82" s="1"/>
  <c r="T67" i="75"/>
  <c r="T19" i="82" s="1"/>
  <c r="T66" i="75"/>
  <c r="T18" i="82" s="1"/>
  <c r="T65" i="75"/>
  <c r="T17" i="82" s="1"/>
  <c r="T64" i="75"/>
  <c r="T16" i="82" s="1"/>
  <c r="T63" i="75"/>
  <c r="T15" i="82" s="1"/>
  <c r="T62" i="75"/>
  <c r="T14" i="82" s="1"/>
  <c r="T55" i="75"/>
  <c r="T24" i="80" s="1"/>
  <c r="T54" i="75"/>
  <c r="T23" i="80" s="1"/>
  <c r="T53" i="75"/>
  <c r="T22" i="80" s="1"/>
  <c r="T52" i="75"/>
  <c r="T21" i="80" s="1"/>
  <c r="T51" i="75"/>
  <c r="T20" i="80" s="1"/>
  <c r="T50" i="75"/>
  <c r="T19" i="80" s="1"/>
  <c r="T49" i="75"/>
  <c r="T18" i="80" s="1"/>
  <c r="T48" i="75"/>
  <c r="T17" i="80" s="1"/>
  <c r="T47" i="75"/>
  <c r="T16" i="80" s="1"/>
  <c r="T46" i="75"/>
  <c r="T15" i="80" s="1"/>
  <c r="T36" i="75"/>
  <c r="T24" i="79" s="1"/>
  <c r="T34" i="75"/>
  <c r="T22" i="79" s="1"/>
  <c r="T33" i="75"/>
  <c r="T21" i="79" s="1"/>
  <c r="T32" i="75"/>
  <c r="T20" i="79" s="1"/>
  <c r="T31" i="75"/>
  <c r="T19" i="79" s="1"/>
  <c r="T30" i="75"/>
  <c r="T18" i="79" s="1"/>
  <c r="T29" i="75"/>
  <c r="T17" i="79" s="1"/>
  <c r="T27" i="75"/>
  <c r="T15" i="79" s="1"/>
  <c r="T18" i="75"/>
  <c r="T6" i="85" s="1"/>
  <c r="T15" i="75"/>
  <c r="T6" i="84" s="1"/>
  <c r="T12" i="75"/>
  <c r="T6" i="82" s="1"/>
  <c r="T9" i="75"/>
  <c r="T6" i="80" s="1"/>
  <c r="T6" i="75"/>
  <c r="T6" i="79" s="1"/>
  <c r="W190" i="1"/>
  <c r="T81" i="75"/>
  <c r="T15" i="84" s="1"/>
  <c r="T45" i="75"/>
  <c r="T14" i="80" s="1"/>
  <c r="T26" i="75"/>
  <c r="T14" i="79" s="1"/>
  <c r="S107" i="75"/>
  <c r="S24" i="85" s="1"/>
  <c r="S90" i="75"/>
  <c r="S24" i="84" s="1"/>
  <c r="S35" i="75"/>
  <c r="S23" i="79" s="1"/>
  <c r="S26" i="75"/>
  <c r="S14" i="79" s="1"/>
  <c r="S8" i="80"/>
  <c r="S7" i="80"/>
  <c r="S8" i="79"/>
  <c r="S7" i="79"/>
  <c r="S108" i="75"/>
  <c r="S25" i="85" s="1"/>
  <c r="S106" i="75"/>
  <c r="S23" i="85" s="1"/>
  <c r="S105" i="75"/>
  <c r="S22" i="85" s="1"/>
  <c r="S104" i="75"/>
  <c r="S21" i="85" s="1"/>
  <c r="S103" i="75"/>
  <c r="S20" i="85" s="1"/>
  <c r="S102" i="75"/>
  <c r="S19" i="85" s="1"/>
  <c r="S101" i="75"/>
  <c r="S18" i="85" s="1"/>
  <c r="S100" i="75"/>
  <c r="S17" i="85" s="1"/>
  <c r="S99" i="75"/>
  <c r="S16" i="85" s="1"/>
  <c r="S98" i="75"/>
  <c r="S15" i="85" s="1"/>
  <c r="S91" i="75"/>
  <c r="S25" i="84" s="1"/>
  <c r="S89" i="75"/>
  <c r="S23" i="84" s="1"/>
  <c r="S88" i="75"/>
  <c r="S22" i="84" s="1"/>
  <c r="S87" i="75"/>
  <c r="S21" i="84" s="1"/>
  <c r="S86" i="75"/>
  <c r="S20" i="84" s="1"/>
  <c r="S85" i="75"/>
  <c r="S19" i="84" s="1"/>
  <c r="S84" i="75"/>
  <c r="S18" i="84" s="1"/>
  <c r="S83" i="75"/>
  <c r="S17" i="84" s="1"/>
  <c r="S82" i="75"/>
  <c r="S16" i="84" s="1"/>
  <c r="S72" i="75"/>
  <c r="S24" i="82" s="1"/>
  <c r="S71" i="75"/>
  <c r="S23" i="82" s="1"/>
  <c r="S70" i="75"/>
  <c r="S22" i="82" s="1"/>
  <c r="S69" i="75"/>
  <c r="S21" i="82" s="1"/>
  <c r="S68" i="75"/>
  <c r="S20" i="82" s="1"/>
  <c r="S67" i="75"/>
  <c r="S19" i="82" s="1"/>
  <c r="S66" i="75"/>
  <c r="S18" i="82" s="1"/>
  <c r="S65" i="75"/>
  <c r="S17" i="82" s="1"/>
  <c r="S64" i="75"/>
  <c r="S16" i="82" s="1"/>
  <c r="S63" i="75"/>
  <c r="S15" i="82" s="1"/>
  <c r="S62" i="75"/>
  <c r="S14" i="82" s="1"/>
  <c r="S55" i="75"/>
  <c r="S24" i="80" s="1"/>
  <c r="S54" i="75"/>
  <c r="S23" i="80" s="1"/>
  <c r="S53" i="75"/>
  <c r="S22" i="80" s="1"/>
  <c r="S52" i="75"/>
  <c r="S21" i="80" s="1"/>
  <c r="S51" i="75"/>
  <c r="S20" i="80" s="1"/>
  <c r="S50" i="75"/>
  <c r="S19" i="80" s="1"/>
  <c r="S49" i="75"/>
  <c r="S18" i="80" s="1"/>
  <c r="S48" i="75"/>
  <c r="S17" i="80" s="1"/>
  <c r="S47" i="75"/>
  <c r="S16" i="80" s="1"/>
  <c r="S46" i="75"/>
  <c r="S15" i="80" s="1"/>
  <c r="S36" i="75"/>
  <c r="S24" i="79" s="1"/>
  <c r="S34" i="75"/>
  <c r="S22" i="79" s="1"/>
  <c r="S33" i="75"/>
  <c r="S21" i="79" s="1"/>
  <c r="S32" i="75"/>
  <c r="S20" i="79" s="1"/>
  <c r="S31" i="75"/>
  <c r="S19" i="79" s="1"/>
  <c r="S30" i="75"/>
  <c r="S18" i="79" s="1"/>
  <c r="S29" i="75"/>
  <c r="S17" i="79" s="1"/>
  <c r="S27" i="75"/>
  <c r="S15" i="79" s="1"/>
  <c r="S18" i="75"/>
  <c r="S6" i="85" s="1"/>
  <c r="S15" i="75"/>
  <c r="S6" i="84" s="1"/>
  <c r="S12" i="75"/>
  <c r="S6" i="82" s="1"/>
  <c r="S9" i="75"/>
  <c r="S6" i="80" s="1"/>
  <c r="S6" i="75"/>
  <c r="S6" i="79" s="1"/>
  <c r="S81" i="75"/>
  <c r="S15" i="84" s="1"/>
  <c r="S28" i="75"/>
  <c r="S16" i="79" s="1"/>
  <c r="S45" i="75"/>
  <c r="S14" i="80" s="1"/>
  <c r="N78" i="1" l="1"/>
  <c r="N250" i="1"/>
  <c r="N183" i="1"/>
  <c r="N116" i="1" s="1"/>
  <c r="N60" i="1"/>
  <c r="U28" i="75"/>
  <c r="U16" i="79" s="1"/>
  <c r="T293" i="1"/>
  <c r="T275" i="1"/>
  <c r="T274" i="1"/>
  <c r="T270" i="1"/>
  <c r="T269" i="1"/>
  <c r="T265" i="1"/>
  <c r="T261" i="1"/>
  <c r="T251" i="1"/>
  <c r="T238" i="1"/>
  <c r="T228" i="1"/>
  <c r="T214" i="1"/>
  <c r="T208" i="1"/>
  <c r="T202" i="1"/>
  <c r="T196" i="1"/>
  <c r="T190" i="1"/>
  <c r="T184" i="1"/>
  <c r="T168" i="1"/>
  <c r="T160" i="1"/>
  <c r="T148" i="1"/>
  <c r="T127" i="1"/>
  <c r="T117" i="1"/>
  <c r="T109" i="1"/>
  <c r="T102" i="1"/>
  <c r="T96" i="1"/>
  <c r="T86" i="1"/>
  <c r="T79" i="1"/>
  <c r="T70" i="1"/>
  <c r="T66" i="1"/>
  <c r="T60" i="1" s="1"/>
  <c r="T51" i="1"/>
  <c r="T44" i="1"/>
  <c r="T37" i="1"/>
  <c r="T32" i="1"/>
  <c r="T27" i="1"/>
  <c r="T23" i="1"/>
  <c r="T18" i="1"/>
  <c r="T11" i="1"/>
  <c r="T7" i="1"/>
  <c r="T250" i="1" l="1"/>
  <c r="N280" i="1"/>
  <c r="T136" i="1"/>
  <c r="T132" i="1" s="1"/>
  <c r="T174" i="1"/>
  <c r="T36" i="1"/>
  <c r="T144" i="1"/>
  <c r="T6" i="1"/>
  <c r="T220" i="1"/>
  <c r="T183" i="1" s="1"/>
  <c r="T78" i="1"/>
  <c r="T156" i="1"/>
  <c r="T116" i="1" l="1"/>
  <c r="T280" i="1" s="1"/>
  <c r="T74" i="1"/>
  <c r="T281" i="1" s="1"/>
  <c r="R90" i="75"/>
  <c r="R24" i="84" s="1"/>
  <c r="R35" i="75"/>
  <c r="R23" i="79" s="1"/>
  <c r="R28" i="75"/>
  <c r="R16" i="79" s="1"/>
  <c r="R81" i="75"/>
  <c r="R15" i="84" s="1"/>
  <c r="R45" i="75"/>
  <c r="R14" i="80" s="1"/>
  <c r="R26" i="75"/>
  <c r="R14" i="79" s="1"/>
  <c r="R8" i="80"/>
  <c r="R7" i="80"/>
  <c r="R8" i="79"/>
  <c r="R7" i="79"/>
  <c r="R108" i="75"/>
  <c r="R25" i="85" s="1"/>
  <c r="R107" i="75"/>
  <c r="R24" i="85" s="1"/>
  <c r="R106" i="75"/>
  <c r="R23" i="85" s="1"/>
  <c r="R105" i="75"/>
  <c r="R22" i="85" s="1"/>
  <c r="R104" i="75"/>
  <c r="R21" i="85" s="1"/>
  <c r="R103" i="75"/>
  <c r="R20" i="85" s="1"/>
  <c r="R102" i="75"/>
  <c r="R19" i="85" s="1"/>
  <c r="R101" i="75"/>
  <c r="R18" i="85" s="1"/>
  <c r="R100" i="75"/>
  <c r="R17" i="85" s="1"/>
  <c r="R99" i="75"/>
  <c r="R16" i="85" s="1"/>
  <c r="R98" i="75"/>
  <c r="R15" i="85" s="1"/>
  <c r="R91" i="75"/>
  <c r="R25" i="84" s="1"/>
  <c r="R89" i="75"/>
  <c r="R23" i="84" s="1"/>
  <c r="R88" i="75"/>
  <c r="R22" i="84" s="1"/>
  <c r="R87" i="75"/>
  <c r="R21" i="84" s="1"/>
  <c r="R86" i="75"/>
  <c r="R20" i="84" s="1"/>
  <c r="R85" i="75"/>
  <c r="R19" i="84" s="1"/>
  <c r="R84" i="75"/>
  <c r="R18" i="84" s="1"/>
  <c r="R83" i="75"/>
  <c r="R17" i="84" s="1"/>
  <c r="R82" i="75"/>
  <c r="R16" i="84" s="1"/>
  <c r="R72" i="75"/>
  <c r="R24" i="82" s="1"/>
  <c r="R71" i="75"/>
  <c r="R23" i="82" s="1"/>
  <c r="R70" i="75"/>
  <c r="R22" i="82" s="1"/>
  <c r="R69" i="75"/>
  <c r="R21" i="82" s="1"/>
  <c r="R68" i="75"/>
  <c r="R20" i="82" s="1"/>
  <c r="R67" i="75"/>
  <c r="R19" i="82" s="1"/>
  <c r="R66" i="75"/>
  <c r="R18" i="82" s="1"/>
  <c r="R65" i="75"/>
  <c r="R17" i="82" s="1"/>
  <c r="R64" i="75"/>
  <c r="R16" i="82" s="1"/>
  <c r="R63" i="75"/>
  <c r="R15" i="82" s="1"/>
  <c r="R62" i="75"/>
  <c r="R14" i="82" s="1"/>
  <c r="R55" i="75"/>
  <c r="R24" i="80" s="1"/>
  <c r="R54" i="75"/>
  <c r="R23" i="80" s="1"/>
  <c r="R53" i="75"/>
  <c r="R22" i="80" s="1"/>
  <c r="R52" i="75"/>
  <c r="R21" i="80" s="1"/>
  <c r="R51" i="75"/>
  <c r="R20" i="80" s="1"/>
  <c r="R50" i="75"/>
  <c r="R19" i="80" s="1"/>
  <c r="R49" i="75"/>
  <c r="R18" i="80" s="1"/>
  <c r="R48" i="75"/>
  <c r="R17" i="80" s="1"/>
  <c r="R47" i="75"/>
  <c r="R16" i="80" s="1"/>
  <c r="R46" i="75"/>
  <c r="R15" i="80" s="1"/>
  <c r="R36" i="75"/>
  <c r="R24" i="79" s="1"/>
  <c r="R34" i="75"/>
  <c r="R22" i="79" s="1"/>
  <c r="R33" i="75"/>
  <c r="R21" i="79" s="1"/>
  <c r="R32" i="75"/>
  <c r="R20" i="79" s="1"/>
  <c r="R31" i="75"/>
  <c r="R19" i="79" s="1"/>
  <c r="R30" i="75"/>
  <c r="R18" i="79" s="1"/>
  <c r="R29" i="75"/>
  <c r="R17" i="79" s="1"/>
  <c r="R27" i="75"/>
  <c r="R15" i="79" s="1"/>
  <c r="R18" i="75"/>
  <c r="R6" i="85" s="1"/>
  <c r="R15" i="75"/>
  <c r="R6" i="84" s="1"/>
  <c r="R12" i="75"/>
  <c r="R6" i="82" s="1"/>
  <c r="R9" i="75"/>
  <c r="R6" i="80" s="1"/>
  <c r="R6" i="75"/>
  <c r="R6" i="79" s="1"/>
  <c r="Q90" i="75"/>
  <c r="Q24" i="84" s="1"/>
  <c r="Q35" i="75"/>
  <c r="Q23" i="79" s="1"/>
  <c r="Q8" i="80"/>
  <c r="Q7" i="80"/>
  <c r="Q8" i="79"/>
  <c r="Q7" i="79"/>
  <c r="Q91" i="75"/>
  <c r="Q25" i="84" s="1"/>
  <c r="Q89" i="75"/>
  <c r="Q23" i="84" s="1"/>
  <c r="Q88" i="75"/>
  <c r="Q22" i="84" s="1"/>
  <c r="Q87" i="75"/>
  <c r="Q21" i="84" s="1"/>
  <c r="Q86" i="75"/>
  <c r="Q20" i="84" s="1"/>
  <c r="Q85" i="75"/>
  <c r="Q19" i="84" s="1"/>
  <c r="Q84" i="75"/>
  <c r="Q18" i="84" s="1"/>
  <c r="Q83" i="75"/>
  <c r="Q17" i="84" s="1"/>
  <c r="Q82" i="75"/>
  <c r="Q16" i="84" s="1"/>
  <c r="Q81" i="75"/>
  <c r="Q15" i="84" s="1"/>
  <c r="Q72" i="75"/>
  <c r="Q24" i="82" s="1"/>
  <c r="Q71" i="75"/>
  <c r="Q23" i="82" s="1"/>
  <c r="Q70" i="75"/>
  <c r="Q22" i="82" s="1"/>
  <c r="Q69" i="75"/>
  <c r="Q21" i="82" s="1"/>
  <c r="Q68" i="75"/>
  <c r="Q20" i="82" s="1"/>
  <c r="Q67" i="75"/>
  <c r="Q19" i="82" s="1"/>
  <c r="Q66" i="75"/>
  <c r="Q18" i="82" s="1"/>
  <c r="Q65" i="75"/>
  <c r="Q17" i="82" s="1"/>
  <c r="Q64" i="75"/>
  <c r="Q16" i="82" s="1"/>
  <c r="Q63" i="75"/>
  <c r="Q15" i="82" s="1"/>
  <c r="Q62" i="75"/>
  <c r="Q14" i="82" s="1"/>
  <c r="Q55" i="75"/>
  <c r="Q24" i="80" s="1"/>
  <c r="Q54" i="75"/>
  <c r="Q23" i="80" s="1"/>
  <c r="Q53" i="75"/>
  <c r="Q22" i="80" s="1"/>
  <c r="Q52" i="75"/>
  <c r="Q21" i="80" s="1"/>
  <c r="Q51" i="75"/>
  <c r="Q20" i="80" s="1"/>
  <c r="Q50" i="75"/>
  <c r="Q19" i="80" s="1"/>
  <c r="Q49" i="75"/>
  <c r="Q18" i="80" s="1"/>
  <c r="Q48" i="75"/>
  <c r="Q17" i="80" s="1"/>
  <c r="Q47" i="75"/>
  <c r="Q16" i="80" s="1"/>
  <c r="Q46" i="75"/>
  <c r="Q15" i="80" s="1"/>
  <c r="Q45" i="75"/>
  <c r="Q14" i="80" s="1"/>
  <c r="Q36" i="75"/>
  <c r="Q24" i="79" s="1"/>
  <c r="Q34" i="75"/>
  <c r="Q22" i="79" s="1"/>
  <c r="Q33" i="75"/>
  <c r="Q21" i="79" s="1"/>
  <c r="Q32" i="75"/>
  <c r="Q20" i="79" s="1"/>
  <c r="Q31" i="75"/>
  <c r="Q19" i="79" s="1"/>
  <c r="Q30" i="75"/>
  <c r="Q18" i="79" s="1"/>
  <c r="Q29" i="75"/>
  <c r="Q17" i="79" s="1"/>
  <c r="Q28" i="75"/>
  <c r="Q16" i="79" s="1"/>
  <c r="Q27" i="75"/>
  <c r="Q15" i="79" s="1"/>
  <c r="Q26" i="75"/>
  <c r="Q14" i="79" s="1"/>
  <c r="Q18" i="75"/>
  <c r="Q6" i="85" s="1"/>
  <c r="Q15" i="75"/>
  <c r="Q6" i="84" s="1"/>
  <c r="Q12" i="75"/>
  <c r="Q6" i="82" s="1"/>
  <c r="Q9" i="75"/>
  <c r="Q6" i="80" s="1"/>
  <c r="Q6" i="75"/>
  <c r="Q6" i="79" s="1"/>
  <c r="P90" i="75"/>
  <c r="P24" i="84" s="1"/>
  <c r="P81" i="75"/>
  <c r="P15" i="84" s="1"/>
  <c r="P26" i="75"/>
  <c r="P14" i="79" s="1"/>
  <c r="P8" i="80"/>
  <c r="P7" i="80"/>
  <c r="P8" i="79"/>
  <c r="P7" i="79"/>
  <c r="P108" i="75"/>
  <c r="P25" i="85" s="1"/>
  <c r="P107" i="75"/>
  <c r="P24" i="85" s="1"/>
  <c r="P106" i="75"/>
  <c r="P23" i="85" s="1"/>
  <c r="P105" i="75"/>
  <c r="P22" i="85" s="1"/>
  <c r="P104" i="75"/>
  <c r="P21" i="85" s="1"/>
  <c r="P103" i="75"/>
  <c r="P20" i="85" s="1"/>
  <c r="P102" i="75"/>
  <c r="P19" i="85" s="1"/>
  <c r="P101" i="75"/>
  <c r="P18" i="85" s="1"/>
  <c r="P100" i="75"/>
  <c r="P17" i="85" s="1"/>
  <c r="P99" i="75"/>
  <c r="P16" i="85" s="1"/>
  <c r="P98" i="75"/>
  <c r="P15" i="85" s="1"/>
  <c r="P91" i="75"/>
  <c r="P25" i="84" s="1"/>
  <c r="P89" i="75"/>
  <c r="P23" i="84" s="1"/>
  <c r="P88" i="75"/>
  <c r="P22" i="84" s="1"/>
  <c r="P87" i="75"/>
  <c r="P21" i="84" s="1"/>
  <c r="P86" i="75"/>
  <c r="P20" i="84" s="1"/>
  <c r="P85" i="75"/>
  <c r="P19" i="84" s="1"/>
  <c r="P84" i="75"/>
  <c r="P18" i="84" s="1"/>
  <c r="P83" i="75"/>
  <c r="P17" i="84" s="1"/>
  <c r="P82" i="75"/>
  <c r="P16" i="84" s="1"/>
  <c r="P72" i="75"/>
  <c r="P24" i="82" s="1"/>
  <c r="P71" i="75"/>
  <c r="P23" i="82" s="1"/>
  <c r="P70" i="75"/>
  <c r="P22" i="82" s="1"/>
  <c r="P69" i="75"/>
  <c r="P21" i="82" s="1"/>
  <c r="P68" i="75"/>
  <c r="P20" i="82" s="1"/>
  <c r="P67" i="75"/>
  <c r="P19" i="82" s="1"/>
  <c r="P66" i="75"/>
  <c r="P18" i="82" s="1"/>
  <c r="P65" i="75"/>
  <c r="P17" i="82" s="1"/>
  <c r="P64" i="75"/>
  <c r="P16" i="82" s="1"/>
  <c r="P63" i="75"/>
  <c r="P15" i="82" s="1"/>
  <c r="P62" i="75"/>
  <c r="P14" i="82" s="1"/>
  <c r="P55" i="75"/>
  <c r="P24" i="80" s="1"/>
  <c r="P54" i="75"/>
  <c r="P23" i="80" s="1"/>
  <c r="P53" i="75"/>
  <c r="P22" i="80" s="1"/>
  <c r="P52" i="75"/>
  <c r="P21" i="80" s="1"/>
  <c r="P51" i="75"/>
  <c r="P20" i="80" s="1"/>
  <c r="P50" i="75"/>
  <c r="P19" i="80" s="1"/>
  <c r="P49" i="75"/>
  <c r="P18" i="80" s="1"/>
  <c r="P48" i="75"/>
  <c r="P17" i="80" s="1"/>
  <c r="P47" i="75"/>
  <c r="P16" i="80" s="1"/>
  <c r="P46" i="75"/>
  <c r="P15" i="80" s="1"/>
  <c r="P45" i="75"/>
  <c r="P14" i="80" s="1"/>
  <c r="P36" i="75"/>
  <c r="P24" i="79" s="1"/>
  <c r="P35" i="75"/>
  <c r="P23" i="79" s="1"/>
  <c r="P34" i="75"/>
  <c r="P22" i="79" s="1"/>
  <c r="P33" i="75"/>
  <c r="P21" i="79" s="1"/>
  <c r="P32" i="75"/>
  <c r="P20" i="79" s="1"/>
  <c r="P31" i="75"/>
  <c r="P19" i="79" s="1"/>
  <c r="P30" i="75"/>
  <c r="P18" i="79" s="1"/>
  <c r="P29" i="75"/>
  <c r="P17" i="79" s="1"/>
  <c r="P28" i="75"/>
  <c r="P16" i="79" s="1"/>
  <c r="P27" i="75"/>
  <c r="P15" i="79" s="1"/>
  <c r="P18" i="75"/>
  <c r="P6" i="85" s="1"/>
  <c r="P15" i="75"/>
  <c r="P6" i="84" s="1"/>
  <c r="P12" i="75"/>
  <c r="P6" i="82" s="1"/>
  <c r="P9" i="75"/>
  <c r="P6" i="80" s="1"/>
  <c r="P6" i="75"/>
  <c r="P6" i="79" s="1"/>
  <c r="O90" i="75"/>
  <c r="O24" i="84" s="1"/>
  <c r="O8" i="80"/>
  <c r="O7" i="80"/>
  <c r="O8" i="79"/>
  <c r="O7" i="79"/>
  <c r="O108" i="75"/>
  <c r="O25" i="85" s="1"/>
  <c r="O107" i="75"/>
  <c r="O24" i="85" s="1"/>
  <c r="O106" i="75"/>
  <c r="O23" i="85" s="1"/>
  <c r="O105" i="75"/>
  <c r="O22" i="85" s="1"/>
  <c r="O104" i="75"/>
  <c r="O21" i="85" s="1"/>
  <c r="O103" i="75"/>
  <c r="O20" i="85" s="1"/>
  <c r="O102" i="75"/>
  <c r="O19" i="85" s="1"/>
  <c r="O101" i="75"/>
  <c r="O18" i="85" s="1"/>
  <c r="O100" i="75"/>
  <c r="O17" i="85" s="1"/>
  <c r="O99" i="75"/>
  <c r="O16" i="85" s="1"/>
  <c r="O98" i="75"/>
  <c r="O15" i="85" s="1"/>
  <c r="O97" i="75"/>
  <c r="O91" i="75"/>
  <c r="O25" i="84" s="1"/>
  <c r="O89" i="75"/>
  <c r="O23" i="84" s="1"/>
  <c r="O88" i="75"/>
  <c r="O22" i="84" s="1"/>
  <c r="O87" i="75"/>
  <c r="O21" i="84" s="1"/>
  <c r="O86" i="75"/>
  <c r="O20" i="84" s="1"/>
  <c r="O85" i="75"/>
  <c r="O19" i="84" s="1"/>
  <c r="O84" i="75"/>
  <c r="O18" i="84" s="1"/>
  <c r="O83" i="75"/>
  <c r="O17" i="84" s="1"/>
  <c r="O82" i="75"/>
  <c r="O16" i="84" s="1"/>
  <c r="O72" i="75"/>
  <c r="O24" i="82" s="1"/>
  <c r="O71" i="75"/>
  <c r="O23" i="82" s="1"/>
  <c r="O70" i="75"/>
  <c r="O22" i="82" s="1"/>
  <c r="O69" i="75"/>
  <c r="O21" i="82" s="1"/>
  <c r="O68" i="75"/>
  <c r="O20" i="82" s="1"/>
  <c r="O67" i="75"/>
  <c r="O19" i="82" s="1"/>
  <c r="O66" i="75"/>
  <c r="O18" i="82" s="1"/>
  <c r="O65" i="75"/>
  <c r="O17" i="82" s="1"/>
  <c r="O64" i="75"/>
  <c r="O16" i="82" s="1"/>
  <c r="O63" i="75"/>
  <c r="O15" i="82" s="1"/>
  <c r="O62" i="75"/>
  <c r="O14" i="82" s="1"/>
  <c r="O55" i="75"/>
  <c r="O24" i="80" s="1"/>
  <c r="O54" i="75"/>
  <c r="O23" i="80" s="1"/>
  <c r="O53" i="75"/>
  <c r="O22" i="80" s="1"/>
  <c r="O52" i="75"/>
  <c r="O21" i="80" s="1"/>
  <c r="O51" i="75"/>
  <c r="O20" i="80" s="1"/>
  <c r="O50" i="75"/>
  <c r="O19" i="80" s="1"/>
  <c r="O49" i="75"/>
  <c r="O18" i="80" s="1"/>
  <c r="O48" i="75"/>
  <c r="O17" i="80" s="1"/>
  <c r="O47" i="75"/>
  <c r="O16" i="80" s="1"/>
  <c r="O46" i="75"/>
  <c r="O15" i="80" s="1"/>
  <c r="O45" i="75"/>
  <c r="O14" i="80" s="1"/>
  <c r="O36" i="75"/>
  <c r="O24" i="79" s="1"/>
  <c r="O35" i="75"/>
  <c r="O23" i="79" s="1"/>
  <c r="O34" i="75"/>
  <c r="O22" i="79" s="1"/>
  <c r="O33" i="75"/>
  <c r="O21" i="79" s="1"/>
  <c r="O32" i="75"/>
  <c r="O20" i="79" s="1"/>
  <c r="O31" i="75"/>
  <c r="O19" i="79" s="1"/>
  <c r="O30" i="75"/>
  <c r="O18" i="79" s="1"/>
  <c r="O29" i="75"/>
  <c r="O17" i="79" s="1"/>
  <c r="O28" i="75"/>
  <c r="O16" i="79" s="1"/>
  <c r="O27" i="75"/>
  <c r="O15" i="79" s="1"/>
  <c r="O18" i="75"/>
  <c r="O6" i="85" s="1"/>
  <c r="O15" i="75"/>
  <c r="O6" i="84" s="1"/>
  <c r="O12" i="75"/>
  <c r="O6" i="82" s="1"/>
  <c r="O9" i="75"/>
  <c r="O6" i="80" s="1"/>
  <c r="O6" i="75"/>
  <c r="O6" i="79" s="1"/>
  <c r="R265" i="1"/>
  <c r="O81" i="75"/>
  <c r="O15" i="84" s="1"/>
  <c r="O26" i="75"/>
  <c r="O14" i="79" s="1"/>
  <c r="N91" i="75"/>
  <c r="N25" i="84" s="1"/>
  <c r="N90" i="75"/>
  <c r="N24" i="84" s="1"/>
  <c r="N89" i="75"/>
  <c r="N23" i="84" s="1"/>
  <c r="N88" i="75"/>
  <c r="N22" i="84" s="1"/>
  <c r="N87" i="75"/>
  <c r="N21" i="84" s="1"/>
  <c r="N86" i="75"/>
  <c r="N20" i="84" s="1"/>
  <c r="N85" i="75"/>
  <c r="N19" i="84" s="1"/>
  <c r="N84" i="75"/>
  <c r="N18" i="84" s="1"/>
  <c r="N83" i="75"/>
  <c r="N17" i="84" s="1"/>
  <c r="N82" i="75"/>
  <c r="N16" i="84" s="1"/>
  <c r="N72" i="75"/>
  <c r="N24" i="82" s="1"/>
  <c r="N71" i="75"/>
  <c r="N23" i="82" s="1"/>
  <c r="N70" i="75"/>
  <c r="N22" i="82" s="1"/>
  <c r="N69" i="75"/>
  <c r="N21" i="82" s="1"/>
  <c r="N68" i="75"/>
  <c r="N20" i="82" s="1"/>
  <c r="N67" i="75"/>
  <c r="N19" i="82" s="1"/>
  <c r="N66" i="75"/>
  <c r="N18" i="82" s="1"/>
  <c r="N65" i="75"/>
  <c r="N17" i="82" s="1"/>
  <c r="N64" i="75"/>
  <c r="N16" i="82" s="1"/>
  <c r="N63" i="75"/>
  <c r="N15" i="82" s="1"/>
  <c r="N62" i="75"/>
  <c r="N14" i="82" s="1"/>
  <c r="M44" i="75"/>
  <c r="M13" i="80" s="1"/>
  <c r="N55" i="75"/>
  <c r="N24" i="80" s="1"/>
  <c r="N54" i="75"/>
  <c r="N23" i="80" s="1"/>
  <c r="N53" i="75"/>
  <c r="N22" i="80" s="1"/>
  <c r="N52" i="75"/>
  <c r="N21" i="80" s="1"/>
  <c r="N51" i="75"/>
  <c r="N20" i="80" s="1"/>
  <c r="N50" i="75"/>
  <c r="N19" i="80" s="1"/>
  <c r="N49" i="75"/>
  <c r="N18" i="80" s="1"/>
  <c r="N48" i="75"/>
  <c r="N17" i="80" s="1"/>
  <c r="N47" i="75"/>
  <c r="N16" i="80" s="1"/>
  <c r="N46" i="75"/>
  <c r="N15" i="80" s="1"/>
  <c r="N45" i="75"/>
  <c r="N14" i="80" s="1"/>
  <c r="N36" i="75"/>
  <c r="N24" i="79" s="1"/>
  <c r="N35" i="75"/>
  <c r="N23" i="79" s="1"/>
  <c r="N34" i="75"/>
  <c r="N22" i="79" s="1"/>
  <c r="N33" i="75"/>
  <c r="N21" i="79" s="1"/>
  <c r="N32" i="75"/>
  <c r="N20" i="79" s="1"/>
  <c r="N31" i="75"/>
  <c r="N19" i="79" s="1"/>
  <c r="N30" i="75"/>
  <c r="N18" i="79" s="1"/>
  <c r="N29" i="75"/>
  <c r="N17" i="79" s="1"/>
  <c r="N28" i="75"/>
  <c r="N16" i="79" s="1"/>
  <c r="N27" i="75"/>
  <c r="N15" i="79" s="1"/>
  <c r="N18" i="75"/>
  <c r="N6" i="85" s="1"/>
  <c r="N15" i="75"/>
  <c r="N6" i="84" s="1"/>
  <c r="N12" i="75"/>
  <c r="N6" i="82" s="1"/>
  <c r="N9" i="75"/>
  <c r="N6" i="80" s="1"/>
  <c r="N6" i="75"/>
  <c r="N6" i="79" s="1"/>
  <c r="N81" i="75"/>
  <c r="N15" i="84" s="1"/>
  <c r="N26" i="75"/>
  <c r="N14" i="79" s="1"/>
  <c r="N8" i="80"/>
  <c r="N7" i="80"/>
  <c r="N8" i="79"/>
  <c r="N7" i="79"/>
  <c r="M8" i="80"/>
  <c r="M7" i="80"/>
  <c r="L8" i="80"/>
  <c r="L7" i="80"/>
  <c r="M8" i="79"/>
  <c r="M7" i="79"/>
  <c r="M81" i="75"/>
  <c r="M15" i="84" s="1"/>
  <c r="M26" i="75"/>
  <c r="M14" i="79" s="1"/>
  <c r="Q108" i="75"/>
  <c r="Q25" i="85" s="1"/>
  <c r="Q107" i="75"/>
  <c r="Q24" i="85" s="1"/>
  <c r="Q106" i="75"/>
  <c r="Q23" i="85" s="1"/>
  <c r="Q105" i="75"/>
  <c r="Q22" i="85" s="1"/>
  <c r="Q104" i="75"/>
  <c r="Q21" i="85" s="1"/>
  <c r="Q103" i="75"/>
  <c r="Q20" i="85" s="1"/>
  <c r="Q102" i="75"/>
  <c r="Q19" i="85" s="1"/>
  <c r="Q101" i="75"/>
  <c r="Q18" i="85" s="1"/>
  <c r="Q100" i="75"/>
  <c r="Q17" i="85" s="1"/>
  <c r="Q99" i="75"/>
  <c r="Q16" i="85" s="1"/>
  <c r="Q98" i="75"/>
  <c r="Q15" i="85" s="1"/>
  <c r="N108" i="75"/>
  <c r="N25" i="85" s="1"/>
  <c r="N107" i="75"/>
  <c r="N24" i="85" s="1"/>
  <c r="N106" i="75"/>
  <c r="N23" i="85" s="1"/>
  <c r="N105" i="75"/>
  <c r="N22" i="85" s="1"/>
  <c r="N104" i="75"/>
  <c r="N21" i="85" s="1"/>
  <c r="N103" i="75"/>
  <c r="N20" i="85" s="1"/>
  <c r="N102" i="75"/>
  <c r="N19" i="85" s="1"/>
  <c r="N101" i="75"/>
  <c r="N18" i="85" s="1"/>
  <c r="N100" i="75"/>
  <c r="N17" i="85" s="1"/>
  <c r="N99" i="75"/>
  <c r="N16" i="85" s="1"/>
  <c r="N98" i="75"/>
  <c r="N15" i="85" s="1"/>
  <c r="N97" i="75"/>
  <c r="M97" i="75"/>
  <c r="L97" i="75"/>
  <c r="M108" i="75"/>
  <c r="M25" i="85" s="1"/>
  <c r="M107" i="75"/>
  <c r="M24" i="85" s="1"/>
  <c r="M106" i="75"/>
  <c r="M23" i="85" s="1"/>
  <c r="M105" i="75"/>
  <c r="M22" i="85" s="1"/>
  <c r="M104" i="75"/>
  <c r="M21" i="85" s="1"/>
  <c r="M103" i="75"/>
  <c r="M20" i="85" s="1"/>
  <c r="M102" i="75"/>
  <c r="M19" i="85" s="1"/>
  <c r="M101" i="75"/>
  <c r="M18" i="85" s="1"/>
  <c r="M100" i="75"/>
  <c r="M17" i="85" s="1"/>
  <c r="M99" i="75"/>
  <c r="M16" i="85" s="1"/>
  <c r="L108" i="75"/>
  <c r="L107" i="75"/>
  <c r="L106" i="75"/>
  <c r="L105" i="75"/>
  <c r="L104" i="75"/>
  <c r="L103" i="75"/>
  <c r="L102" i="75"/>
  <c r="L101" i="75"/>
  <c r="L100" i="75"/>
  <c r="L99" i="75"/>
  <c r="L98" i="75"/>
  <c r="M91" i="75"/>
  <c r="M25" i="84" s="1"/>
  <c r="M90" i="75"/>
  <c r="M24" i="84" s="1"/>
  <c r="M89" i="75"/>
  <c r="M23" i="84" s="1"/>
  <c r="M88" i="75"/>
  <c r="M22" i="84" s="1"/>
  <c r="M87" i="75"/>
  <c r="M21" i="84" s="1"/>
  <c r="M86" i="75"/>
  <c r="M20" i="84" s="1"/>
  <c r="M85" i="75"/>
  <c r="M19" i="84" s="1"/>
  <c r="M84" i="75"/>
  <c r="M18" i="84" s="1"/>
  <c r="M83" i="75"/>
  <c r="M17" i="84" s="1"/>
  <c r="M82" i="75"/>
  <c r="M16" i="84" s="1"/>
  <c r="L91" i="75"/>
  <c r="L90" i="75"/>
  <c r="L89" i="75"/>
  <c r="L88" i="75"/>
  <c r="L87" i="75"/>
  <c r="L86" i="75"/>
  <c r="L85" i="75"/>
  <c r="L84" i="75"/>
  <c r="L83" i="75"/>
  <c r="L82" i="75"/>
  <c r="M72" i="75"/>
  <c r="M24" i="82" s="1"/>
  <c r="M71" i="75"/>
  <c r="M23" i="82" s="1"/>
  <c r="M70" i="75"/>
  <c r="M22" i="82" s="1"/>
  <c r="M69" i="75"/>
  <c r="M21" i="82" s="1"/>
  <c r="M68" i="75"/>
  <c r="M20" i="82" s="1"/>
  <c r="M67" i="75"/>
  <c r="M19" i="82" s="1"/>
  <c r="M66" i="75"/>
  <c r="M18" i="82" s="1"/>
  <c r="M65" i="75"/>
  <c r="M17" i="82" s="1"/>
  <c r="M64" i="75"/>
  <c r="M16" i="82" s="1"/>
  <c r="M63" i="75"/>
  <c r="M15" i="82" s="1"/>
  <c r="L72" i="75"/>
  <c r="L71" i="75"/>
  <c r="L70" i="75"/>
  <c r="L69" i="75"/>
  <c r="L68" i="75"/>
  <c r="L67" i="75"/>
  <c r="L66" i="75"/>
  <c r="L65" i="75"/>
  <c r="L64" i="75"/>
  <c r="L63" i="75"/>
  <c r="L62" i="75"/>
  <c r="M55" i="75"/>
  <c r="M24" i="80" s="1"/>
  <c r="M54" i="75"/>
  <c r="M23" i="80" s="1"/>
  <c r="M53" i="75"/>
  <c r="M22" i="80" s="1"/>
  <c r="M52" i="75"/>
  <c r="M21" i="80" s="1"/>
  <c r="M51" i="75"/>
  <c r="M20" i="80" s="1"/>
  <c r="M50" i="75"/>
  <c r="M19" i="80" s="1"/>
  <c r="M49" i="75"/>
  <c r="M18" i="80" s="1"/>
  <c r="M48" i="75"/>
  <c r="M17" i="80" s="1"/>
  <c r="M47" i="75"/>
  <c r="M16" i="80" s="1"/>
  <c r="M46" i="75"/>
  <c r="M15" i="80" s="1"/>
  <c r="M45" i="75"/>
  <c r="M14" i="80" s="1"/>
  <c r="L55" i="75"/>
  <c r="L54" i="75"/>
  <c r="L53" i="75"/>
  <c r="L52" i="75"/>
  <c r="L51" i="75"/>
  <c r="L50" i="75"/>
  <c r="L49" i="75"/>
  <c r="L48" i="75"/>
  <c r="L47" i="75"/>
  <c r="L46" i="75"/>
  <c r="L45" i="75"/>
  <c r="M36" i="75"/>
  <c r="M24" i="79" s="1"/>
  <c r="M35" i="75"/>
  <c r="M23" i="79" s="1"/>
  <c r="M34" i="75"/>
  <c r="M22" i="79" s="1"/>
  <c r="M33" i="75"/>
  <c r="M21" i="79" s="1"/>
  <c r="M32" i="75"/>
  <c r="M20" i="79" s="1"/>
  <c r="M31" i="75"/>
  <c r="M19" i="79" s="1"/>
  <c r="M30" i="75"/>
  <c r="M18" i="79" s="1"/>
  <c r="M29" i="75"/>
  <c r="M17" i="79" s="1"/>
  <c r="M28" i="75"/>
  <c r="M16" i="79" s="1"/>
  <c r="M27" i="75"/>
  <c r="M15" i="79" s="1"/>
  <c r="L36" i="75"/>
  <c r="L34" i="75"/>
  <c r="L33" i="75"/>
  <c r="L32" i="75"/>
  <c r="L31" i="75"/>
  <c r="L30" i="75"/>
  <c r="L29" i="75"/>
  <c r="L28" i="75"/>
  <c r="L27" i="75"/>
  <c r="M18" i="75"/>
  <c r="M6" i="85" s="1"/>
  <c r="L18" i="75"/>
  <c r="M15" i="75"/>
  <c r="M6" i="84" s="1"/>
  <c r="L15" i="75"/>
  <c r="M12" i="75"/>
  <c r="M6" i="82" s="1"/>
  <c r="L12" i="75"/>
  <c r="M9" i="75"/>
  <c r="M6" i="80" s="1"/>
  <c r="L9" i="75"/>
  <c r="L6" i="80" s="1"/>
  <c r="M6" i="75"/>
  <c r="M6" i="79" s="1"/>
  <c r="L6" i="75"/>
  <c r="O28" i="71"/>
  <c r="I26" i="85"/>
  <c r="I27" i="85" s="1"/>
  <c r="H26" i="85"/>
  <c r="H27" i="85" s="1"/>
  <c r="I9" i="85"/>
  <c r="H9" i="85"/>
  <c r="I26" i="84"/>
  <c r="I27" i="84" s="1"/>
  <c r="H26" i="84"/>
  <c r="H27" i="84" s="1"/>
  <c r="I9" i="84"/>
  <c r="H9" i="84"/>
  <c r="I25" i="82"/>
  <c r="I26" i="82" s="1"/>
  <c r="H25" i="82"/>
  <c r="H26" i="82" s="1"/>
  <c r="I9" i="82"/>
  <c r="H9" i="82"/>
  <c r="I25" i="80"/>
  <c r="I26" i="80" s="1"/>
  <c r="H25" i="80"/>
  <c r="H26" i="80" s="1"/>
  <c r="I9" i="80"/>
  <c r="H9" i="80"/>
  <c r="I25" i="79"/>
  <c r="I26" i="79" s="1"/>
  <c r="H25" i="79"/>
  <c r="H26" i="79" s="1"/>
  <c r="I9" i="79"/>
  <c r="H9" i="79"/>
  <c r="I109" i="75"/>
  <c r="I110" i="75" s="1"/>
  <c r="H109" i="75"/>
  <c r="H110" i="75" s="1"/>
  <c r="I92" i="75"/>
  <c r="I93" i="75" s="1"/>
  <c r="H92" i="75"/>
  <c r="H93" i="75" s="1"/>
  <c r="I73" i="75"/>
  <c r="I74" i="75" s="1"/>
  <c r="H73" i="75"/>
  <c r="H74" i="75" s="1"/>
  <c r="T282" i="1" l="1"/>
  <c r="T297" i="1" s="1"/>
  <c r="T302" i="1" s="1"/>
  <c r="I56" i="75"/>
  <c r="I57" i="75" s="1"/>
  <c r="H56" i="75"/>
  <c r="H57" i="75" s="1"/>
  <c r="H37" i="75" l="1"/>
  <c r="I36" i="75"/>
  <c r="I37" i="75" s="1"/>
  <c r="I21" i="75"/>
  <c r="I113" i="75" s="1"/>
  <c r="H21" i="75"/>
  <c r="H113" i="75" s="1"/>
  <c r="L20" i="82"/>
  <c r="L8" i="79"/>
  <c r="L7" i="79"/>
  <c r="L24" i="85"/>
  <c r="L23" i="85"/>
  <c r="L22" i="85"/>
  <c r="L21" i="85"/>
  <c r="L20" i="85"/>
  <c r="L19" i="85"/>
  <c r="L18" i="85"/>
  <c r="L17" i="85"/>
  <c r="L16" i="85"/>
  <c r="L15" i="85"/>
  <c r="L25" i="85"/>
  <c r="L24" i="84"/>
  <c r="L23" i="84"/>
  <c r="L22" i="84"/>
  <c r="L21" i="84"/>
  <c r="L20" i="84"/>
  <c r="L19" i="84"/>
  <c r="L18" i="84"/>
  <c r="L17" i="84"/>
  <c r="L16" i="84"/>
  <c r="L25" i="84"/>
  <c r="L24" i="82"/>
  <c r="L23" i="82"/>
  <c r="L22" i="82"/>
  <c r="L21" i="82"/>
  <c r="L19" i="82"/>
  <c r="L18" i="82"/>
  <c r="L17" i="82"/>
  <c r="L16" i="82"/>
  <c r="L15" i="82"/>
  <c r="L14" i="82"/>
  <c r="L61" i="75"/>
  <c r="L13" i="82" s="1"/>
  <c r="L24" i="80"/>
  <c r="L23" i="80"/>
  <c r="L22" i="80"/>
  <c r="L21" i="80"/>
  <c r="L20" i="80"/>
  <c r="L19" i="80"/>
  <c r="L18" i="80"/>
  <c r="L17" i="80"/>
  <c r="L16" i="80"/>
  <c r="L15" i="80"/>
  <c r="L14" i="80"/>
  <c r="L17" i="79"/>
  <c r="L44" i="75"/>
  <c r="L13" i="80" s="1"/>
  <c r="L24" i="79"/>
  <c r="L22" i="79"/>
  <c r="L21" i="79"/>
  <c r="L20" i="79"/>
  <c r="L19" i="79"/>
  <c r="L18" i="79"/>
  <c r="L16" i="79"/>
  <c r="L15" i="79"/>
  <c r="L25" i="75"/>
  <c r="L13" i="79" s="1"/>
  <c r="L6" i="84"/>
  <c r="L6" i="82"/>
  <c r="L6" i="79"/>
  <c r="O102" i="1"/>
  <c r="O293" i="1"/>
  <c r="O251" i="1"/>
  <c r="O96" i="1"/>
  <c r="O174" i="1"/>
  <c r="L35" i="75"/>
  <c r="L23" i="79" s="1"/>
  <c r="O275" i="1"/>
  <c r="O274" i="1"/>
  <c r="O270" i="1"/>
  <c r="O265" i="1"/>
  <c r="O261" i="1"/>
  <c r="O238" i="1"/>
  <c r="O228" i="1"/>
  <c r="O214" i="1"/>
  <c r="O208" i="1"/>
  <c r="O202" i="1"/>
  <c r="O196" i="1"/>
  <c r="O190" i="1"/>
  <c r="O184" i="1"/>
  <c r="O168" i="1"/>
  <c r="O160" i="1"/>
  <c r="O156" i="1" s="1"/>
  <c r="O148" i="1"/>
  <c r="O127" i="1"/>
  <c r="O117" i="1"/>
  <c r="O109" i="1"/>
  <c r="O86" i="1"/>
  <c r="O70" i="1"/>
  <c r="O66" i="1"/>
  <c r="O60" i="1" s="1"/>
  <c r="O51" i="1"/>
  <c r="O44" i="1"/>
  <c r="O37" i="1"/>
  <c r="O32" i="1"/>
  <c r="O27" i="1"/>
  <c r="O23" i="1"/>
  <c r="O18" i="1"/>
  <c r="O11" i="1"/>
  <c r="O7" i="1"/>
  <c r="B203" i="1"/>
  <c r="B204" i="1"/>
  <c r="K302" i="1"/>
  <c r="K293" i="1"/>
  <c r="K274" i="1"/>
  <c r="K269" i="1"/>
  <c r="K270" i="1"/>
  <c r="K265" i="1"/>
  <c r="K261" i="1"/>
  <c r="K251" i="1"/>
  <c r="K238" i="1"/>
  <c r="K228" i="1"/>
  <c r="K220" i="1"/>
  <c r="K214" i="1"/>
  <c r="K208" i="1"/>
  <c r="K202" i="1"/>
  <c r="K196" i="1"/>
  <c r="K190" i="1"/>
  <c r="K184" i="1"/>
  <c r="K174" i="1"/>
  <c r="K168" i="1"/>
  <c r="K160" i="1"/>
  <c r="K156" i="1" s="1"/>
  <c r="K148" i="1"/>
  <c r="K144" i="1" s="1"/>
  <c r="K136" i="1"/>
  <c r="K132" i="1" s="1"/>
  <c r="K127" i="1"/>
  <c r="K117" i="1"/>
  <c r="K109" i="1"/>
  <c r="K102" i="1"/>
  <c r="K96" i="1"/>
  <c r="K86" i="1"/>
  <c r="K79" i="1"/>
  <c r="K44" i="1"/>
  <c r="K51" i="1"/>
  <c r="K66" i="1"/>
  <c r="K60" i="1" s="1"/>
  <c r="K37" i="1"/>
  <c r="K32" i="1"/>
  <c r="K27" i="1"/>
  <c r="K23" i="1"/>
  <c r="K18" i="1"/>
  <c r="K11" i="1"/>
  <c r="K275" i="71"/>
  <c r="K262" i="71"/>
  <c r="K257" i="71"/>
  <c r="K254" i="71"/>
  <c r="K180" i="71"/>
  <c r="K55" i="71"/>
  <c r="K28" i="71"/>
  <c r="K23" i="71"/>
  <c r="O220" i="1" l="1"/>
  <c r="O183" i="1" s="1"/>
  <c r="O36" i="1"/>
  <c r="O136" i="1"/>
  <c r="O132" i="1" s="1"/>
  <c r="L26" i="75"/>
  <c r="L14" i="79" s="1"/>
  <c r="L81" i="75"/>
  <c r="L15" i="84" s="1"/>
  <c r="O144" i="1"/>
  <c r="H38" i="75"/>
  <c r="H112" i="75"/>
  <c r="H114" i="75" s="1"/>
  <c r="I38" i="75"/>
  <c r="I112" i="75"/>
  <c r="I114" i="75" s="1"/>
  <c r="K30" i="71"/>
  <c r="K265" i="71" s="1"/>
  <c r="O6" i="1"/>
  <c r="O269" i="1"/>
  <c r="O250" i="1"/>
  <c r="K6" i="1"/>
  <c r="K250" i="1"/>
  <c r="K183" i="1"/>
  <c r="K116" i="1" s="1"/>
  <c r="K78" i="1"/>
  <c r="K36" i="1"/>
  <c r="K264" i="71"/>
  <c r="J283" i="71"/>
  <c r="J275" i="71"/>
  <c r="N275" i="71"/>
  <c r="G97" i="75"/>
  <c r="F97" i="75"/>
  <c r="G96" i="75"/>
  <c r="G25" i="85"/>
  <c r="G24" i="85"/>
  <c r="G23" i="85"/>
  <c r="G22" i="85"/>
  <c r="G21" i="85"/>
  <c r="G20" i="85"/>
  <c r="G19" i="85"/>
  <c r="G18" i="85"/>
  <c r="G17" i="85"/>
  <c r="G16" i="85"/>
  <c r="G15" i="85"/>
  <c r="G14" i="85"/>
  <c r="G13" i="85"/>
  <c r="G8" i="85"/>
  <c r="G7" i="85"/>
  <c r="G6" i="85"/>
  <c r="G25" i="84"/>
  <c r="G24" i="84"/>
  <c r="G23" i="84"/>
  <c r="G22" i="84"/>
  <c r="G21" i="84"/>
  <c r="G20" i="84"/>
  <c r="G19" i="84"/>
  <c r="G18" i="84"/>
  <c r="G17" i="84"/>
  <c r="G16" i="84"/>
  <c r="G15" i="84"/>
  <c r="G14" i="84"/>
  <c r="G13" i="84"/>
  <c r="G8" i="84"/>
  <c r="G7" i="84"/>
  <c r="G6" i="84"/>
  <c r="G6" i="82"/>
  <c r="G9" i="82" s="1"/>
  <c r="G24" i="82"/>
  <c r="G23" i="82"/>
  <c r="G22" i="82"/>
  <c r="G21" i="82"/>
  <c r="G20" i="82"/>
  <c r="G19" i="82"/>
  <c r="G18" i="82"/>
  <c r="G17" i="82"/>
  <c r="G16" i="82"/>
  <c r="G15" i="82"/>
  <c r="G14" i="82"/>
  <c r="G13" i="82"/>
  <c r="G12" i="82"/>
  <c r="G24" i="80"/>
  <c r="G23" i="80"/>
  <c r="G22" i="80"/>
  <c r="G21" i="80"/>
  <c r="G20" i="80"/>
  <c r="G19" i="80"/>
  <c r="G18" i="80"/>
  <c r="G17" i="80"/>
  <c r="G16" i="80"/>
  <c r="G15" i="80"/>
  <c r="G14" i="80"/>
  <c r="G13" i="80"/>
  <c r="G12" i="80"/>
  <c r="G8" i="80"/>
  <c r="G7" i="80"/>
  <c r="G6" i="80"/>
  <c r="G24" i="79"/>
  <c r="G23" i="79"/>
  <c r="G22" i="79"/>
  <c r="G21" i="79"/>
  <c r="G20" i="79"/>
  <c r="G19" i="79"/>
  <c r="G18" i="79"/>
  <c r="G17" i="79"/>
  <c r="G16" i="79"/>
  <c r="G15" i="79"/>
  <c r="G14" i="79"/>
  <c r="G13" i="79"/>
  <c r="G12" i="79"/>
  <c r="G8" i="79"/>
  <c r="G7" i="79"/>
  <c r="G6" i="79"/>
  <c r="G108" i="75"/>
  <c r="G107" i="75"/>
  <c r="G106" i="75"/>
  <c r="G105" i="75"/>
  <c r="G104" i="75"/>
  <c r="G103" i="75"/>
  <c r="G102" i="75"/>
  <c r="G101" i="75"/>
  <c r="G100" i="75"/>
  <c r="G99" i="75"/>
  <c r="G98" i="75"/>
  <c r="G91" i="75"/>
  <c r="G90" i="75"/>
  <c r="G89" i="75"/>
  <c r="G88" i="75"/>
  <c r="G87" i="75"/>
  <c r="G86" i="75"/>
  <c r="G85" i="75"/>
  <c r="G84" i="75"/>
  <c r="G83" i="75"/>
  <c r="G82" i="75"/>
  <c r="G81" i="75"/>
  <c r="G80" i="75"/>
  <c r="G79" i="75"/>
  <c r="G72" i="75"/>
  <c r="G71" i="75"/>
  <c r="G70" i="75"/>
  <c r="G69" i="75"/>
  <c r="G68" i="75"/>
  <c r="G67" i="75"/>
  <c r="G66" i="75"/>
  <c r="G65" i="75"/>
  <c r="G64" i="75"/>
  <c r="G63" i="75"/>
  <c r="G62" i="75"/>
  <c r="G61" i="75"/>
  <c r="G60" i="75"/>
  <c r="G55" i="75"/>
  <c r="G54" i="75"/>
  <c r="G53" i="75"/>
  <c r="G52" i="75"/>
  <c r="G51" i="75"/>
  <c r="G50" i="75"/>
  <c r="G49" i="75"/>
  <c r="G48" i="75"/>
  <c r="G47" i="75"/>
  <c r="G46" i="75"/>
  <c r="G45" i="75"/>
  <c r="G44" i="75"/>
  <c r="G43" i="75"/>
  <c r="G36" i="75"/>
  <c r="G35" i="75"/>
  <c r="G34" i="75"/>
  <c r="G33" i="75"/>
  <c r="G32" i="75"/>
  <c r="G31" i="75"/>
  <c r="G30" i="75"/>
  <c r="G29" i="75"/>
  <c r="G28" i="75"/>
  <c r="G27" i="75"/>
  <c r="G26" i="75"/>
  <c r="G25" i="75"/>
  <c r="G24" i="75"/>
  <c r="G20" i="75"/>
  <c r="G19" i="75"/>
  <c r="G18" i="75"/>
  <c r="G17" i="75"/>
  <c r="G16" i="75"/>
  <c r="G15" i="75"/>
  <c r="G14" i="75"/>
  <c r="G13" i="75"/>
  <c r="G12" i="75"/>
  <c r="G11" i="75"/>
  <c r="G10" i="75"/>
  <c r="G9" i="75"/>
  <c r="G8" i="75"/>
  <c r="G7" i="75"/>
  <c r="G6" i="75"/>
  <c r="O74" i="1" l="1"/>
  <c r="O281" i="1" s="1"/>
  <c r="K267" i="71"/>
  <c r="K278" i="71" s="1"/>
  <c r="K283" i="71" s="1"/>
  <c r="O116" i="1"/>
  <c r="K74" i="1"/>
  <c r="K280" i="1"/>
  <c r="K281" i="1"/>
  <c r="G26" i="85"/>
  <c r="G27" i="85" s="1"/>
  <c r="G9" i="84"/>
  <c r="G9" i="80"/>
  <c r="G73" i="75"/>
  <c r="G74" i="75" s="1"/>
  <c r="G21" i="75"/>
  <c r="G113" i="75" s="1"/>
  <c r="G56" i="75"/>
  <c r="G57" i="75" s="1"/>
  <c r="G26" i="84"/>
  <c r="G27" i="84" s="1"/>
  <c r="G109" i="75"/>
  <c r="G110" i="75" s="1"/>
  <c r="W21" i="75"/>
  <c r="G37" i="75"/>
  <c r="G92" i="75"/>
  <c r="G93" i="75" s="1"/>
  <c r="G25" i="82"/>
  <c r="G26" i="82" s="1"/>
  <c r="G25" i="80"/>
  <c r="G26" i="80" s="1"/>
  <c r="G25" i="79"/>
  <c r="G26" i="79" s="1"/>
  <c r="G9" i="79"/>
  <c r="G9" i="85"/>
  <c r="K282" i="1" l="1"/>
  <c r="G112" i="75"/>
  <c r="G114" i="75" s="1"/>
  <c r="G38" i="75"/>
  <c r="J180" i="71" l="1"/>
  <c r="J24" i="71"/>
  <c r="J28" i="71" s="1"/>
  <c r="J262" i="71"/>
  <c r="J257" i="71"/>
  <c r="J254" i="71"/>
  <c r="J55" i="71"/>
  <c r="J23" i="71"/>
  <c r="J264" i="71" l="1"/>
  <c r="J30" i="71"/>
  <c r="J265" i="71" s="1"/>
  <c r="J267" i="71" l="1"/>
  <c r="F215" i="81" l="1"/>
  <c r="V9" i="79"/>
  <c r="U9" i="85"/>
  <c r="U9" i="84"/>
  <c r="U9" i="82"/>
  <c r="U9" i="80"/>
  <c r="W293" i="1"/>
  <c r="W70" i="1"/>
  <c r="W66" i="1"/>
  <c r="W60" i="1" s="1"/>
  <c r="W51" i="1"/>
  <c r="W44" i="1"/>
  <c r="W32" i="1"/>
  <c r="W23" i="1"/>
  <c r="W7" i="1"/>
  <c r="U275" i="71"/>
  <c r="U262" i="71"/>
  <c r="U257" i="71"/>
  <c r="U254" i="71"/>
  <c r="U180" i="71"/>
  <c r="U55" i="71"/>
  <c r="U28" i="71"/>
  <c r="U23" i="71"/>
  <c r="V293" i="1"/>
  <c r="V70" i="1"/>
  <c r="V66" i="1"/>
  <c r="V60" i="1" s="1"/>
  <c r="V51" i="1"/>
  <c r="V44" i="1"/>
  <c r="V32" i="1"/>
  <c r="V23" i="1"/>
  <c r="V7" i="1"/>
  <c r="S293" i="1"/>
  <c r="S70" i="1"/>
  <c r="S66" i="1"/>
  <c r="S60" i="1" s="1"/>
  <c r="S51" i="1"/>
  <c r="S44" i="1"/>
  <c r="S32" i="1"/>
  <c r="S23" i="1"/>
  <c r="S7" i="1"/>
  <c r="R293" i="1"/>
  <c r="R70" i="1"/>
  <c r="R66" i="1"/>
  <c r="R60" i="1" s="1"/>
  <c r="R51" i="1"/>
  <c r="R44" i="1"/>
  <c r="R32" i="1"/>
  <c r="R23" i="1"/>
  <c r="R7" i="1"/>
  <c r="P23" i="71"/>
  <c r="R27" i="1" l="1"/>
  <c r="U30" i="71"/>
  <c r="U265" i="71" s="1"/>
  <c r="W270" i="1"/>
  <c r="V18" i="1"/>
  <c r="R11" i="1"/>
  <c r="V37" i="1"/>
  <c r="V36" i="1" s="1"/>
  <c r="R261" i="1"/>
  <c r="V27" i="1"/>
  <c r="V270" i="1"/>
  <c r="R202" i="1"/>
  <c r="V11" i="1"/>
  <c r="R269" i="1"/>
  <c r="S27" i="1"/>
  <c r="V148" i="1"/>
  <c r="V144" i="1" s="1"/>
  <c r="W109" i="1"/>
  <c r="R270" i="1"/>
  <c r="S261" i="1"/>
  <c r="R168" i="1"/>
  <c r="S275" i="1"/>
  <c r="V269" i="1"/>
  <c r="W269" i="1"/>
  <c r="R102" i="1"/>
  <c r="R136" i="1"/>
  <c r="R132" i="1" s="1"/>
  <c r="R184" i="1"/>
  <c r="R275" i="1"/>
  <c r="V109" i="1"/>
  <c r="W37" i="1"/>
  <c r="W36" i="1" s="1"/>
  <c r="W18" i="1"/>
  <c r="R238" i="1"/>
  <c r="V265" i="1"/>
  <c r="W27" i="1"/>
  <c r="R18" i="1"/>
  <c r="R228" i="1"/>
  <c r="S18" i="1"/>
  <c r="S127" i="1"/>
  <c r="V228" i="1"/>
  <c r="W265" i="1"/>
  <c r="R127" i="1"/>
  <c r="R251" i="1"/>
  <c r="S11" i="1"/>
  <c r="S265" i="1"/>
  <c r="R174" i="1"/>
  <c r="S214" i="1"/>
  <c r="S270" i="1"/>
  <c r="U160" i="1"/>
  <c r="V136" i="1"/>
  <c r="V132" i="1" s="1"/>
  <c r="R37" i="1"/>
  <c r="R36" i="1" s="1"/>
  <c r="R96" i="1"/>
  <c r="R160" i="1"/>
  <c r="R156" i="1" s="1"/>
  <c r="R220" i="1"/>
  <c r="W136" i="1"/>
  <c r="W132" i="1" s="1"/>
  <c r="S168" i="1"/>
  <c r="U148" i="1"/>
  <c r="V202" i="1"/>
  <c r="V261" i="1"/>
  <c r="V274" i="1"/>
  <c r="W208" i="1"/>
  <c r="R190" i="1"/>
  <c r="R208" i="1"/>
  <c r="V251" i="1"/>
  <c r="W127" i="1"/>
  <c r="W275" i="1"/>
  <c r="R109" i="1"/>
  <c r="R148" i="1"/>
  <c r="R144" i="1" s="1"/>
  <c r="R196" i="1"/>
  <c r="S102" i="1"/>
  <c r="S190" i="1"/>
  <c r="V96" i="1"/>
  <c r="W102" i="1"/>
  <c r="W214" i="1"/>
  <c r="W251" i="1"/>
  <c r="U9" i="79"/>
  <c r="W174" i="1"/>
  <c r="W148" i="1"/>
  <c r="W144" i="1" s="1"/>
  <c r="W220" i="1"/>
  <c r="W202" i="1"/>
  <c r="W196" i="1"/>
  <c r="W184" i="1"/>
  <c r="W160" i="1"/>
  <c r="W156" i="1" s="1"/>
  <c r="W261" i="1"/>
  <c r="W238" i="1"/>
  <c r="W168" i="1"/>
  <c r="W228" i="1"/>
  <c r="W117" i="1"/>
  <c r="W96" i="1"/>
  <c r="W11" i="1"/>
  <c r="W274" i="1"/>
  <c r="V190" i="1"/>
  <c r="U264" i="71"/>
  <c r="V220" i="1"/>
  <c r="V117" i="1"/>
  <c r="V168" i="1"/>
  <c r="V184" i="1"/>
  <c r="V127" i="1"/>
  <c r="V160" i="1"/>
  <c r="V156" i="1" s="1"/>
  <c r="V102" i="1"/>
  <c r="V174" i="1"/>
  <c r="V196" i="1"/>
  <c r="V238" i="1"/>
  <c r="V214" i="1"/>
  <c r="V208" i="1"/>
  <c r="V275" i="1"/>
  <c r="U136" i="1"/>
  <c r="S202" i="1"/>
  <c r="S251" i="1"/>
  <c r="S160" i="1"/>
  <c r="S156" i="1" s="1"/>
  <c r="S148" i="1"/>
  <c r="S144" i="1" s="1"/>
  <c r="S196" i="1"/>
  <c r="S136" i="1"/>
  <c r="S132" i="1" s="1"/>
  <c r="S220" i="1"/>
  <c r="S208" i="1"/>
  <c r="S184" i="1"/>
  <c r="S238" i="1"/>
  <c r="S174" i="1"/>
  <c r="S228" i="1"/>
  <c r="S117" i="1"/>
  <c r="S109" i="1"/>
  <c r="S96" i="1"/>
  <c r="S37" i="1"/>
  <c r="S36" i="1" s="1"/>
  <c r="S269" i="1"/>
  <c r="S274" i="1"/>
  <c r="R117" i="1"/>
  <c r="R274" i="1"/>
  <c r="Q70" i="1"/>
  <c r="Q66" i="1"/>
  <c r="Q60" i="1" s="1"/>
  <c r="Q51" i="1"/>
  <c r="Q44" i="1"/>
  <c r="Q32" i="1"/>
  <c r="Q23" i="1"/>
  <c r="Q7" i="1"/>
  <c r="L6" i="85"/>
  <c r="M98" i="75"/>
  <c r="M15" i="85" s="1"/>
  <c r="M62" i="75"/>
  <c r="M14" i="82" s="1"/>
  <c r="P70" i="1"/>
  <c r="P66" i="1"/>
  <c r="P60" i="1" s="1"/>
  <c r="P51" i="1"/>
  <c r="P44" i="1"/>
  <c r="P32" i="1"/>
  <c r="P23" i="1"/>
  <c r="P7" i="1"/>
  <c r="I156" i="1"/>
  <c r="I274" i="1"/>
  <c r="I275" i="1"/>
  <c r="I261" i="1"/>
  <c r="I250" i="1" s="1"/>
  <c r="I148" i="1"/>
  <c r="I144" i="1" s="1"/>
  <c r="I136" i="1"/>
  <c r="I79" i="1"/>
  <c r="I66" i="1"/>
  <c r="U267" i="71" l="1"/>
  <c r="U278" i="71" s="1"/>
  <c r="U283" i="71" s="1"/>
  <c r="P168" i="1"/>
  <c r="Q109" i="1"/>
  <c r="R6" i="1"/>
  <c r="R74" i="1" s="1"/>
  <c r="R281" i="1" s="1"/>
  <c r="R250" i="1"/>
  <c r="V6" i="1"/>
  <c r="V74" i="1" s="1"/>
  <c r="V281" i="1" s="1"/>
  <c r="S6" i="1"/>
  <c r="S74" i="1" s="1"/>
  <c r="S281" i="1" s="1"/>
  <c r="P228" i="1"/>
  <c r="Q96" i="1"/>
  <c r="Q269" i="1"/>
  <c r="S250" i="1"/>
  <c r="P265" i="1"/>
  <c r="Q265" i="1"/>
  <c r="P214" i="1"/>
  <c r="W250" i="1"/>
  <c r="P270" i="1"/>
  <c r="Q18" i="1"/>
  <c r="P96" i="1"/>
  <c r="Q261" i="1"/>
  <c r="R183" i="1"/>
  <c r="R116" i="1" s="1"/>
  <c r="V250" i="1"/>
  <c r="P37" i="1"/>
  <c r="P36" i="1" s="1"/>
  <c r="P148" i="1"/>
  <c r="P144" i="1" s="1"/>
  <c r="P274" i="1"/>
  <c r="Q37" i="1"/>
  <c r="Q36" i="1" s="1"/>
  <c r="P18" i="1"/>
  <c r="Q27" i="1"/>
  <c r="P160" i="1"/>
  <c r="P156" i="1" s="1"/>
  <c r="Q11" i="1"/>
  <c r="P238" i="1"/>
  <c r="Q202" i="1"/>
  <c r="P196" i="1"/>
  <c r="P136" i="1"/>
  <c r="P132" i="1" s="1"/>
  <c r="Q238" i="1"/>
  <c r="P174" i="1"/>
  <c r="P109" i="1"/>
  <c r="P269" i="1"/>
  <c r="Q270" i="1"/>
  <c r="W6" i="1"/>
  <c r="W74" i="1" s="1"/>
  <c r="W281" i="1" s="1"/>
  <c r="P102" i="1"/>
  <c r="P127" i="1"/>
  <c r="Q160" i="1"/>
  <c r="Q156" i="1" s="1"/>
  <c r="P11" i="1"/>
  <c r="P275" i="1"/>
  <c r="Q102" i="1"/>
  <c r="Q127" i="1"/>
  <c r="P27" i="1"/>
  <c r="P220" i="1"/>
  <c r="Q174" i="1"/>
  <c r="Q214" i="1"/>
  <c r="P208" i="1"/>
  <c r="Q190" i="1"/>
  <c r="P190" i="1"/>
  <c r="Q168" i="1"/>
  <c r="Q208" i="1"/>
  <c r="Q251" i="1"/>
  <c r="P261" i="1"/>
  <c r="P251" i="1"/>
  <c r="Q220" i="1"/>
  <c r="P117" i="1"/>
  <c r="P184" i="1"/>
  <c r="P202" i="1"/>
  <c r="Q196" i="1"/>
  <c r="Q275" i="1"/>
  <c r="W183" i="1"/>
  <c r="W116" i="1" s="1"/>
  <c r="V183" i="1"/>
  <c r="V116" i="1" s="1"/>
  <c r="S183" i="1"/>
  <c r="S116" i="1" s="1"/>
  <c r="Q136" i="1"/>
  <c r="Q132" i="1" s="1"/>
  <c r="Q148" i="1"/>
  <c r="Q144" i="1" s="1"/>
  <c r="Q184" i="1"/>
  <c r="Q228" i="1"/>
  <c r="Q117" i="1"/>
  <c r="Q274" i="1"/>
  <c r="Q250" i="1" l="1"/>
  <c r="Q6" i="1"/>
  <c r="Q74" i="1" s="1"/>
  <c r="P250" i="1"/>
  <c r="P6" i="1"/>
  <c r="P74" i="1" s="1"/>
  <c r="Q183" i="1"/>
  <c r="Q116" i="1" s="1"/>
  <c r="P183" i="1"/>
  <c r="P116" i="1" s="1"/>
  <c r="F14" i="85" l="1"/>
  <c r="F13" i="82"/>
  <c r="E108" i="75"/>
  <c r="E25" i="85" s="1"/>
  <c r="E13" i="85"/>
  <c r="E91" i="75"/>
  <c r="E25" i="84" s="1"/>
  <c r="E13" i="84"/>
  <c r="E12" i="82"/>
  <c r="E12" i="80"/>
  <c r="E12" i="79"/>
  <c r="E106" i="75"/>
  <c r="E23" i="85" s="1"/>
  <c r="E105" i="75"/>
  <c r="E22" i="85" s="1"/>
  <c r="E104" i="75"/>
  <c r="E21" i="85" s="1"/>
  <c r="E101" i="75"/>
  <c r="E18" i="85" s="1"/>
  <c r="E100" i="75"/>
  <c r="E17" i="85" s="1"/>
  <c r="E99" i="75"/>
  <c r="E16" i="85" s="1"/>
  <c r="E98" i="75"/>
  <c r="E15" i="85" s="1"/>
  <c r="E97" i="75"/>
  <c r="E14" i="85" s="1"/>
  <c r="E89" i="75"/>
  <c r="E23" i="84" s="1"/>
  <c r="E88" i="75"/>
  <c r="E22" i="84" s="1"/>
  <c r="E87" i="75"/>
  <c r="E21" i="84" s="1"/>
  <c r="E84" i="75"/>
  <c r="E18" i="84" s="1"/>
  <c r="E83" i="75"/>
  <c r="E17" i="84" s="1"/>
  <c r="E82" i="75"/>
  <c r="E16" i="84" s="1"/>
  <c r="E81" i="75"/>
  <c r="E15" i="84" s="1"/>
  <c r="E80" i="75"/>
  <c r="E14" i="84" s="1"/>
  <c r="E72" i="75"/>
  <c r="E24" i="82" s="1"/>
  <c r="E70" i="75"/>
  <c r="E22" i="82" s="1"/>
  <c r="E69" i="75"/>
  <c r="E21" i="82" s="1"/>
  <c r="E68" i="75"/>
  <c r="E20" i="82" s="1"/>
  <c r="E65" i="75"/>
  <c r="E17" i="82" s="1"/>
  <c r="E64" i="75"/>
  <c r="E16" i="82" s="1"/>
  <c r="E63" i="75"/>
  <c r="E15" i="82" s="1"/>
  <c r="E62" i="75"/>
  <c r="E14" i="82" s="1"/>
  <c r="E61" i="75"/>
  <c r="E13" i="82" s="1"/>
  <c r="E55" i="75"/>
  <c r="E24" i="80" s="1"/>
  <c r="E52" i="75"/>
  <c r="E21" i="80" s="1"/>
  <c r="E53" i="75"/>
  <c r="E22" i="80" s="1"/>
  <c r="E51" i="75"/>
  <c r="E20" i="80" s="1"/>
  <c r="E48" i="75"/>
  <c r="E17" i="80" s="1"/>
  <c r="E47" i="75"/>
  <c r="E16" i="80" s="1"/>
  <c r="E46" i="75"/>
  <c r="E15" i="80" s="1"/>
  <c r="E45" i="75"/>
  <c r="E14" i="80" s="1"/>
  <c r="E44" i="75"/>
  <c r="E13" i="80" s="1"/>
  <c r="E36" i="75"/>
  <c r="E24" i="79" s="1"/>
  <c r="E34" i="75"/>
  <c r="E22" i="79" s="1"/>
  <c r="E33" i="75"/>
  <c r="E21" i="79" s="1"/>
  <c r="E32" i="75"/>
  <c r="E20" i="79" s="1"/>
  <c r="E29" i="75"/>
  <c r="E17" i="79" s="1"/>
  <c r="E28" i="75"/>
  <c r="E16" i="79" s="1"/>
  <c r="E27" i="75" l="1"/>
  <c r="E15" i="79" s="1"/>
  <c r="E26" i="75"/>
  <c r="E14" i="79" s="1"/>
  <c r="E25" i="75"/>
  <c r="E13" i="79" s="1"/>
  <c r="E18" i="75" l="1"/>
  <c r="E6" i="85" s="1"/>
  <c r="E15" i="75"/>
  <c r="E6" i="84" s="1"/>
  <c r="E12" i="75"/>
  <c r="E6" i="82" s="1"/>
  <c r="E6" i="75"/>
  <c r="E6" i="79" s="1"/>
  <c r="E9" i="75"/>
  <c r="E6" i="80" s="1"/>
  <c r="E26" i="85" l="1"/>
  <c r="E27" i="85" s="1"/>
  <c r="F25" i="85"/>
  <c r="D25" i="85"/>
  <c r="F24" i="85"/>
  <c r="D24" i="85"/>
  <c r="F23" i="85"/>
  <c r="D23" i="85"/>
  <c r="F22" i="85"/>
  <c r="D22" i="85"/>
  <c r="F21" i="85"/>
  <c r="D21" i="85"/>
  <c r="F20" i="85"/>
  <c r="D20" i="85"/>
  <c r="F19" i="85"/>
  <c r="D19" i="85"/>
  <c r="F18" i="85"/>
  <c r="D18" i="85"/>
  <c r="F17" i="85"/>
  <c r="D17" i="85"/>
  <c r="D16" i="85"/>
  <c r="D15" i="85"/>
  <c r="D14" i="85"/>
  <c r="F13" i="85"/>
  <c r="D13" i="85"/>
  <c r="T9" i="85"/>
  <c r="S9" i="85"/>
  <c r="R9" i="85"/>
  <c r="Q9" i="85"/>
  <c r="M9" i="85"/>
  <c r="L9" i="85"/>
  <c r="F8" i="85"/>
  <c r="D8" i="85"/>
  <c r="F7" i="85"/>
  <c r="D7" i="85"/>
  <c r="F6" i="85"/>
  <c r="D6" i="85"/>
  <c r="E9" i="85"/>
  <c r="E26" i="84"/>
  <c r="E27" i="84" s="1"/>
  <c r="F25" i="84"/>
  <c r="D25" i="84"/>
  <c r="F24" i="84"/>
  <c r="D24" i="84"/>
  <c r="F23" i="84"/>
  <c r="D23" i="84"/>
  <c r="F22" i="84"/>
  <c r="D22" i="84"/>
  <c r="F21" i="84"/>
  <c r="D21" i="84"/>
  <c r="F20" i="84"/>
  <c r="D20" i="84"/>
  <c r="F19" i="84"/>
  <c r="D19" i="84"/>
  <c r="F18" i="84"/>
  <c r="D18" i="84"/>
  <c r="F17" i="84"/>
  <c r="D17" i="84"/>
  <c r="D16" i="84"/>
  <c r="D15" i="84"/>
  <c r="F14" i="84"/>
  <c r="D14" i="84"/>
  <c r="F13" i="84"/>
  <c r="D13" i="84"/>
  <c r="W9" i="84"/>
  <c r="Q9" i="84"/>
  <c r="T9" i="84"/>
  <c r="S9" i="84"/>
  <c r="R9" i="84"/>
  <c r="M9" i="84"/>
  <c r="L9" i="84"/>
  <c r="F8" i="84"/>
  <c r="D8" i="84"/>
  <c r="F7" i="84"/>
  <c r="D7" i="84"/>
  <c r="F6" i="84"/>
  <c r="D6" i="84"/>
  <c r="E9" i="84"/>
  <c r="D26" i="85" l="1"/>
  <c r="D27" i="85" s="1"/>
  <c r="F9" i="85"/>
  <c r="N9" i="85"/>
  <c r="P9" i="85"/>
  <c r="V9" i="85"/>
  <c r="O9" i="85"/>
  <c r="W9" i="85"/>
  <c r="D9" i="85"/>
  <c r="F9" i="84"/>
  <c r="D9" i="84"/>
  <c r="O9" i="84"/>
  <c r="V9" i="84"/>
  <c r="D26" i="84"/>
  <c r="D27" i="84" s="1"/>
  <c r="N9" i="84"/>
  <c r="P9" i="84"/>
  <c r="F23" i="82" l="1"/>
  <c r="F22" i="82"/>
  <c r="F21" i="82"/>
  <c r="F20" i="82"/>
  <c r="F19" i="82"/>
  <c r="F18" i="82"/>
  <c r="F17" i="82"/>
  <c r="F16" i="82"/>
  <c r="F12" i="82"/>
  <c r="F24" i="82"/>
  <c r="D12" i="82"/>
  <c r="D24" i="82"/>
  <c r="D23" i="82"/>
  <c r="D22" i="82"/>
  <c r="D21" i="82"/>
  <c r="D20" i="82"/>
  <c r="D19" i="82"/>
  <c r="D18" i="82"/>
  <c r="D17" i="82"/>
  <c r="D16" i="82"/>
  <c r="D15" i="82"/>
  <c r="D14" i="82"/>
  <c r="D13" i="82"/>
  <c r="E25" i="82"/>
  <c r="E26" i="82" s="1"/>
  <c r="W9" i="82"/>
  <c r="V9" i="82"/>
  <c r="T9" i="82"/>
  <c r="S9" i="82"/>
  <c r="R9" i="82"/>
  <c r="Q9" i="82"/>
  <c r="P9" i="82"/>
  <c r="O9" i="82"/>
  <c r="N9" i="82"/>
  <c r="M9" i="82"/>
  <c r="L9" i="82"/>
  <c r="E9" i="82"/>
  <c r="D9" i="82"/>
  <c r="D25" i="82" l="1"/>
  <c r="D26" i="82" s="1"/>
  <c r="F9" i="82"/>
  <c r="F197" i="81"/>
  <c r="F179" i="81"/>
  <c r="F155" i="81"/>
  <c r="F138" i="81"/>
  <c r="F115" i="81"/>
  <c r="F102" i="81"/>
  <c r="F87" i="81"/>
  <c r="F72" i="81"/>
  <c r="F53" i="81"/>
  <c r="F34" i="81"/>
  <c r="F18" i="81"/>
  <c r="U24" i="75" l="1"/>
  <c r="W24" i="75"/>
  <c r="V24" i="75"/>
  <c r="T24" i="75"/>
  <c r="U60" i="75"/>
  <c r="W60" i="75"/>
  <c r="T60" i="75"/>
  <c r="V60" i="75"/>
  <c r="W43" i="75"/>
  <c r="W12" i="80" s="1"/>
  <c r="T43" i="75"/>
  <c r="T12" i="80" s="1"/>
  <c r="U43" i="75"/>
  <c r="U12" i="80" s="1"/>
  <c r="V43" i="75"/>
  <c r="V12" i="80" s="1"/>
  <c r="W79" i="75"/>
  <c r="T79" i="75"/>
  <c r="U79" i="75"/>
  <c r="V79" i="75"/>
  <c r="T96" i="75"/>
  <c r="T13" i="85" s="1"/>
  <c r="U96" i="75"/>
  <c r="U13" i="85" s="1"/>
  <c r="W96" i="75"/>
  <c r="W13" i="85" s="1"/>
  <c r="V96" i="75"/>
  <c r="V13" i="85" s="1"/>
  <c r="S43" i="75"/>
  <c r="S12" i="80" s="1"/>
  <c r="M43" i="75"/>
  <c r="M12" i="80" s="1"/>
  <c r="O43" i="75"/>
  <c r="O12" i="80" s="1"/>
  <c r="N43" i="75"/>
  <c r="N12" i="80" s="1"/>
  <c r="R43" i="75"/>
  <c r="R12" i="80" s="1"/>
  <c r="Q43" i="75"/>
  <c r="Q12" i="80" s="1"/>
  <c r="P43" i="75"/>
  <c r="S24" i="75"/>
  <c r="P24" i="75"/>
  <c r="R24" i="75"/>
  <c r="Q24" i="75"/>
  <c r="N24" i="75"/>
  <c r="N12" i="79" s="1"/>
  <c r="O24" i="75"/>
  <c r="S60" i="75"/>
  <c r="P60" i="75"/>
  <c r="Q60" i="75"/>
  <c r="R60" i="75"/>
  <c r="O60" i="75"/>
  <c r="S96" i="75"/>
  <c r="S13" i="85" s="1"/>
  <c r="R96" i="75"/>
  <c r="R13" i="85" s="1"/>
  <c r="Q96" i="75"/>
  <c r="Q13" i="85" s="1"/>
  <c r="S79" i="75"/>
  <c r="R79" i="75"/>
  <c r="O79" i="75"/>
  <c r="P79" i="75"/>
  <c r="Q79" i="75"/>
  <c r="P96" i="75"/>
  <c r="O96" i="75"/>
  <c r="O13" i="85" s="1"/>
  <c r="F218" i="81"/>
  <c r="N79" i="75"/>
  <c r="N13" i="84" s="1"/>
  <c r="N96" i="75"/>
  <c r="N13" i="85" s="1"/>
  <c r="N60" i="75"/>
  <c r="N12" i="82" s="1"/>
  <c r="M79" i="75"/>
  <c r="M13" i="84" s="1"/>
  <c r="L79" i="75"/>
  <c r="L43" i="75"/>
  <c r="M60" i="75"/>
  <c r="L60" i="75"/>
  <c r="L96" i="75"/>
  <c r="M96" i="75"/>
  <c r="L24" i="75"/>
  <c r="L12" i="79" s="1"/>
  <c r="M24" i="75"/>
  <c r="M12" i="79" s="1"/>
  <c r="H275" i="71"/>
  <c r="H262" i="71"/>
  <c r="H257" i="71"/>
  <c r="H254" i="71"/>
  <c r="H180" i="71"/>
  <c r="H55" i="71"/>
  <c r="H28" i="71"/>
  <c r="H23" i="71"/>
  <c r="H293" i="1"/>
  <c r="H127" i="1"/>
  <c r="H117" i="1"/>
  <c r="H109" i="1"/>
  <c r="H102" i="1"/>
  <c r="H86" i="1"/>
  <c r="H96" i="1"/>
  <c r="H70" i="1"/>
  <c r="H66" i="1"/>
  <c r="H60" i="1" s="1"/>
  <c r="H74" i="1" s="1"/>
  <c r="H281" i="1" s="1"/>
  <c r="H282" i="1" s="1"/>
  <c r="H297" i="1" s="1"/>
  <c r="H302" i="1" s="1"/>
  <c r="I60" i="1"/>
  <c r="H32" i="1"/>
  <c r="H27" i="1"/>
  <c r="H23" i="1"/>
  <c r="H18" i="1"/>
  <c r="H11" i="1"/>
  <c r="U13" i="84" l="1"/>
  <c r="U92" i="75"/>
  <c r="U93" i="75" s="1"/>
  <c r="T12" i="82"/>
  <c r="T13" i="84"/>
  <c r="T26" i="84" s="1"/>
  <c r="T27" i="84" s="1"/>
  <c r="W73" i="75"/>
  <c r="W74" i="75" s="1"/>
  <c r="W12" i="82"/>
  <c r="W25" i="82" s="1"/>
  <c r="W26" i="82" s="1"/>
  <c r="V73" i="75"/>
  <c r="V74" i="75" s="1"/>
  <c r="V12" i="82"/>
  <c r="V25" i="82" s="1"/>
  <c r="V26" i="82" s="1"/>
  <c r="W13" i="84"/>
  <c r="W92" i="75"/>
  <c r="W93" i="75" s="1"/>
  <c r="V12" i="79"/>
  <c r="V25" i="79" s="1"/>
  <c r="V26" i="79" s="1"/>
  <c r="V37" i="75"/>
  <c r="V38" i="75" s="1"/>
  <c r="V13" i="84"/>
  <c r="V26" i="84" s="1"/>
  <c r="V27" i="84" s="1"/>
  <c r="V92" i="75"/>
  <c r="V93" i="75" s="1"/>
  <c r="U73" i="75"/>
  <c r="U74" i="75" s="1"/>
  <c r="U12" i="82"/>
  <c r="U25" i="82" s="1"/>
  <c r="U26" i="82" s="1"/>
  <c r="T37" i="75"/>
  <c r="T12" i="79"/>
  <c r="W37" i="75"/>
  <c r="W38" i="75" s="1"/>
  <c r="W12" i="79"/>
  <c r="W25" i="79" s="1"/>
  <c r="W26" i="79" s="1"/>
  <c r="U37" i="75"/>
  <c r="U12" i="79"/>
  <c r="U25" i="79" s="1"/>
  <c r="U26" i="79" s="1"/>
  <c r="S12" i="82"/>
  <c r="P12" i="80"/>
  <c r="P56" i="75"/>
  <c r="P57" i="75" s="1"/>
  <c r="O37" i="75"/>
  <c r="O12" i="79"/>
  <c r="Q13" i="84"/>
  <c r="O12" i="82"/>
  <c r="Q37" i="75"/>
  <c r="Q12" i="79"/>
  <c r="P13" i="84"/>
  <c r="P92" i="75"/>
  <c r="P93" i="75" s="1"/>
  <c r="R12" i="82"/>
  <c r="R37" i="75"/>
  <c r="R12" i="79"/>
  <c r="S13" i="84"/>
  <c r="O13" i="84"/>
  <c r="Q12" i="82"/>
  <c r="P12" i="79"/>
  <c r="P25" i="79" s="1"/>
  <c r="P37" i="75"/>
  <c r="P38" i="75" s="1"/>
  <c r="R13" i="84"/>
  <c r="P73" i="75"/>
  <c r="P74" i="75" s="1"/>
  <c r="P12" i="82"/>
  <c r="S37" i="75"/>
  <c r="S12" i="79"/>
  <c r="P13" i="85"/>
  <c r="P109" i="75"/>
  <c r="P110" i="75" s="1"/>
  <c r="W109" i="75"/>
  <c r="W110" i="75" s="1"/>
  <c r="W25" i="80"/>
  <c r="W26" i="80" s="1"/>
  <c r="V79" i="1"/>
  <c r="V25" i="80"/>
  <c r="V26" i="80" s="1"/>
  <c r="V26" i="85"/>
  <c r="V27" i="85" s="1"/>
  <c r="M25" i="79"/>
  <c r="L13" i="85"/>
  <c r="L14" i="84"/>
  <c r="L13" i="84"/>
  <c r="M109" i="75"/>
  <c r="M110" i="75" s="1"/>
  <c r="M13" i="85"/>
  <c r="M26" i="85" s="1"/>
  <c r="M27" i="85" s="1"/>
  <c r="T26" i="85"/>
  <c r="T27" i="85" s="1"/>
  <c r="W86" i="1"/>
  <c r="S79" i="1"/>
  <c r="N37" i="75"/>
  <c r="H30" i="71"/>
  <c r="H265" i="71" s="1"/>
  <c r="R86" i="1"/>
  <c r="S86" i="1"/>
  <c r="V86" i="1"/>
  <c r="W79" i="1"/>
  <c r="U79" i="1"/>
  <c r="V109" i="75"/>
  <c r="V110" i="75" s="1"/>
  <c r="U26" i="85"/>
  <c r="U27" i="85" s="1"/>
  <c r="U109" i="75"/>
  <c r="U110" i="75" s="1"/>
  <c r="U56" i="75"/>
  <c r="U25" i="80"/>
  <c r="U26" i="80" s="1"/>
  <c r="L12" i="80"/>
  <c r="L12" i="82"/>
  <c r="M73" i="75"/>
  <c r="M74" i="75" s="1"/>
  <c r="M12" i="82"/>
  <c r="Q86" i="1"/>
  <c r="M26" i="84"/>
  <c r="M27" i="84" s="1"/>
  <c r="M92" i="75"/>
  <c r="P86" i="1"/>
  <c r="M37" i="75"/>
  <c r="M38" i="75" s="1"/>
  <c r="P79" i="1"/>
  <c r="H264" i="71"/>
  <c r="O78" i="1" l="1"/>
  <c r="W26" i="85"/>
  <c r="W27" i="85" s="1"/>
  <c r="W26" i="84"/>
  <c r="W27" i="84" s="1"/>
  <c r="V78" i="1"/>
  <c r="V280" i="1" s="1"/>
  <c r="V282" i="1" s="1"/>
  <c r="V297" i="1" s="1"/>
  <c r="V302" i="1" s="1"/>
  <c r="V305" i="1" s="1"/>
  <c r="Q79" i="1"/>
  <c r="Q78" i="1"/>
  <c r="S78" i="1"/>
  <c r="S280" i="1" s="1"/>
  <c r="S282" i="1" s="1"/>
  <c r="S297" i="1" s="1"/>
  <c r="S302" i="1" s="1"/>
  <c r="P78" i="1"/>
  <c r="S25" i="79"/>
  <c r="S26" i="79" s="1"/>
  <c r="N25" i="79"/>
  <c r="N26" i="79" s="1"/>
  <c r="P26" i="84"/>
  <c r="P27" i="84" s="1"/>
  <c r="H267" i="71"/>
  <c r="H278" i="71" s="1"/>
  <c r="H283" i="71" s="1"/>
  <c r="S26" i="84"/>
  <c r="S27" i="84" s="1"/>
  <c r="T25" i="79"/>
  <c r="T26" i="79" s="1"/>
  <c r="N26" i="84"/>
  <c r="N27" i="84" s="1"/>
  <c r="R26" i="85"/>
  <c r="R27" i="85" s="1"/>
  <c r="R25" i="79"/>
  <c r="R26" i="79" s="1"/>
  <c r="O25" i="79"/>
  <c r="O26" i="79" s="1"/>
  <c r="S26" i="85"/>
  <c r="S27" i="85" s="1"/>
  <c r="Q26" i="85"/>
  <c r="Q27" i="85" s="1"/>
  <c r="O26" i="85"/>
  <c r="O27" i="85" s="1"/>
  <c r="S25" i="82"/>
  <c r="S26" i="82" s="1"/>
  <c r="U26" i="84"/>
  <c r="U27" i="84" s="1"/>
  <c r="N26" i="85"/>
  <c r="N27" i="85" s="1"/>
  <c r="R26" i="84"/>
  <c r="R27" i="84" s="1"/>
  <c r="T25" i="82"/>
  <c r="T26" i="82" s="1"/>
  <c r="P26" i="85"/>
  <c r="P27" i="85" s="1"/>
  <c r="Q25" i="79"/>
  <c r="Q26" i="79" s="1"/>
  <c r="Q26" i="84"/>
  <c r="Q27" i="84" s="1"/>
  <c r="O26" i="84"/>
  <c r="O27" i="84" s="1"/>
  <c r="W78" i="1"/>
  <c r="W280" i="1" s="1"/>
  <c r="W282" i="1" s="1"/>
  <c r="W297" i="1" s="1"/>
  <c r="W302" i="1" s="1"/>
  <c r="W305" i="1" s="1"/>
  <c r="R78" i="1"/>
  <c r="R280" i="1" s="1"/>
  <c r="R282" i="1" s="1"/>
  <c r="R297" i="1" s="1"/>
  <c r="R302" i="1" s="1"/>
  <c r="U57" i="75"/>
  <c r="U112" i="75"/>
  <c r="N25" i="82"/>
  <c r="N26" i="82" s="1"/>
  <c r="P25" i="82"/>
  <c r="P26" i="82" s="1"/>
  <c r="R25" i="82"/>
  <c r="R26" i="82" s="1"/>
  <c r="M25" i="82"/>
  <c r="M26" i="82" s="1"/>
  <c r="Q25" i="82"/>
  <c r="Q26" i="82" s="1"/>
  <c r="O25" i="82"/>
  <c r="O26" i="82" s="1"/>
  <c r="L26" i="84"/>
  <c r="L27" i="84" s="1"/>
  <c r="L25" i="82"/>
  <c r="L26" i="82" s="1"/>
  <c r="L26" i="85"/>
  <c r="L27" i="85" s="1"/>
  <c r="L37" i="75"/>
  <c r="L25" i="79"/>
  <c r="L26" i="79" s="1"/>
  <c r="T25" i="80"/>
  <c r="T26" i="80" s="1"/>
  <c r="S25" i="80"/>
  <c r="S26" i="80" s="1"/>
  <c r="R25" i="80"/>
  <c r="R26" i="80" s="1"/>
  <c r="Q25" i="80"/>
  <c r="Q26" i="80" s="1"/>
  <c r="P25" i="80"/>
  <c r="O25" i="80"/>
  <c r="N25" i="80"/>
  <c r="N26" i="80" s="1"/>
  <c r="M25" i="80"/>
  <c r="M26" i="80" s="1"/>
  <c r="L25" i="80"/>
  <c r="L26" i="80" s="1"/>
  <c r="E25" i="80"/>
  <c r="E26" i="80" s="1"/>
  <c r="F24" i="80"/>
  <c r="D24" i="80"/>
  <c r="F23" i="80"/>
  <c r="D23" i="80"/>
  <c r="F22" i="80"/>
  <c r="D22" i="80"/>
  <c r="F21" i="80"/>
  <c r="D21" i="80"/>
  <c r="F20" i="80"/>
  <c r="D20" i="80"/>
  <c r="F19" i="80"/>
  <c r="D19" i="80"/>
  <c r="F18" i="80"/>
  <c r="D18" i="80"/>
  <c r="F17" i="80"/>
  <c r="D17" i="80"/>
  <c r="F16" i="80"/>
  <c r="D16" i="80"/>
  <c r="D15" i="80"/>
  <c r="D14" i="80"/>
  <c r="F13" i="80"/>
  <c r="D13" i="80"/>
  <c r="F12" i="80"/>
  <c r="D12" i="80"/>
  <c r="E9" i="80"/>
  <c r="T9" i="80"/>
  <c r="S9" i="80"/>
  <c r="R9" i="80"/>
  <c r="M9" i="80"/>
  <c r="L9" i="80"/>
  <c r="F8" i="80"/>
  <c r="D8" i="80"/>
  <c r="F7" i="80"/>
  <c r="D7" i="80"/>
  <c r="F6" i="80"/>
  <c r="D6" i="80"/>
  <c r="M26" i="79"/>
  <c r="E25" i="79"/>
  <c r="E26" i="79" s="1"/>
  <c r="F24" i="79"/>
  <c r="D24" i="79"/>
  <c r="F23" i="79"/>
  <c r="D23" i="79"/>
  <c r="F22" i="79"/>
  <c r="D22" i="79"/>
  <c r="F21" i="79"/>
  <c r="D21" i="79"/>
  <c r="F20" i="79"/>
  <c r="D20" i="79"/>
  <c r="F19" i="79"/>
  <c r="F18" i="79"/>
  <c r="D18" i="79"/>
  <c r="F17" i="79"/>
  <c r="D17" i="79"/>
  <c r="F16" i="79"/>
  <c r="D15" i="79"/>
  <c r="F13" i="79"/>
  <c r="D13" i="79"/>
  <c r="F12" i="79"/>
  <c r="D12" i="79"/>
  <c r="W9" i="79"/>
  <c r="T9" i="79"/>
  <c r="Q9" i="79"/>
  <c r="O9" i="79"/>
  <c r="L9" i="79"/>
  <c r="E9" i="79"/>
  <c r="S9" i="79"/>
  <c r="R9" i="79"/>
  <c r="M9" i="79"/>
  <c r="F8" i="79"/>
  <c r="D8" i="79"/>
  <c r="F7" i="79"/>
  <c r="D7" i="79"/>
  <c r="F6" i="79"/>
  <c r="D6" i="79"/>
  <c r="D108" i="75"/>
  <c r="D107" i="75"/>
  <c r="D106" i="75"/>
  <c r="D105" i="75"/>
  <c r="D104" i="75"/>
  <c r="D103" i="75"/>
  <c r="D102" i="75"/>
  <c r="D101" i="75"/>
  <c r="D100" i="75"/>
  <c r="D99" i="75"/>
  <c r="D98" i="75"/>
  <c r="D97" i="75"/>
  <c r="D96" i="75"/>
  <c r="D91" i="75"/>
  <c r="D90" i="75"/>
  <c r="D89" i="75"/>
  <c r="D88" i="75"/>
  <c r="D87" i="75"/>
  <c r="D86" i="75"/>
  <c r="D85" i="75"/>
  <c r="D84" i="75"/>
  <c r="D83" i="75"/>
  <c r="D82" i="75"/>
  <c r="D81" i="75"/>
  <c r="D80" i="75"/>
  <c r="D79" i="75"/>
  <c r="D72" i="75"/>
  <c r="D71" i="75"/>
  <c r="D70" i="75"/>
  <c r="D69" i="75"/>
  <c r="D68" i="75"/>
  <c r="D67" i="75"/>
  <c r="D66" i="75"/>
  <c r="D65" i="75"/>
  <c r="D64" i="75"/>
  <c r="D63" i="75"/>
  <c r="D62" i="75"/>
  <c r="D61" i="75"/>
  <c r="D60" i="75"/>
  <c r="D55" i="75"/>
  <c r="D54" i="75"/>
  <c r="D53" i="75"/>
  <c r="D52" i="75"/>
  <c r="D51" i="75"/>
  <c r="D50" i="75"/>
  <c r="D49" i="75"/>
  <c r="D48" i="75"/>
  <c r="D47" i="75"/>
  <c r="D46" i="75"/>
  <c r="D45" i="75"/>
  <c r="D44" i="75"/>
  <c r="D43" i="75"/>
  <c r="D36" i="75"/>
  <c r="D35" i="75"/>
  <c r="D34" i="75"/>
  <c r="D33" i="75"/>
  <c r="D32" i="75"/>
  <c r="D30" i="75"/>
  <c r="D29" i="75"/>
  <c r="D27" i="75"/>
  <c r="D25" i="75"/>
  <c r="D24" i="75"/>
  <c r="O280" i="1" l="1"/>
  <c r="O282" i="1" s="1"/>
  <c r="R79" i="1"/>
  <c r="D9" i="80"/>
  <c r="F9" i="79"/>
  <c r="D25" i="80"/>
  <c r="D26" i="80" s="1"/>
  <c r="P9" i="80"/>
  <c r="P26" i="80" s="1"/>
  <c r="F9" i="80"/>
  <c r="Q9" i="80"/>
  <c r="N9" i="80"/>
  <c r="V9" i="80"/>
  <c r="O26" i="80"/>
  <c r="O9" i="80"/>
  <c r="W9" i="80"/>
  <c r="D9" i="79"/>
  <c r="N9" i="79"/>
  <c r="P9" i="79"/>
  <c r="P26" i="79" s="1"/>
  <c r="D20" i="75"/>
  <c r="D19" i="75"/>
  <c r="D18" i="75"/>
  <c r="D17" i="75"/>
  <c r="D16" i="75"/>
  <c r="D15" i="75"/>
  <c r="D14" i="75"/>
  <c r="D13" i="75"/>
  <c r="D12" i="75"/>
  <c r="D11" i="75"/>
  <c r="D10" i="75"/>
  <c r="D9" i="75"/>
  <c r="D8" i="75"/>
  <c r="D7" i="75"/>
  <c r="D6" i="75"/>
  <c r="O297" i="1" l="1"/>
  <c r="O302" i="1" s="1"/>
  <c r="D21" i="75"/>
  <c r="F107" i="75"/>
  <c r="F106" i="75"/>
  <c r="F105" i="75"/>
  <c r="F104" i="75"/>
  <c r="F103" i="75"/>
  <c r="F102" i="75"/>
  <c r="F101" i="75"/>
  <c r="F100" i="75"/>
  <c r="F96" i="75"/>
  <c r="F90" i="75"/>
  <c r="F89" i="75"/>
  <c r="F88" i="75"/>
  <c r="F87" i="75"/>
  <c r="F86" i="75"/>
  <c r="F85" i="75"/>
  <c r="F84" i="75"/>
  <c r="F83" i="75"/>
  <c r="F80" i="75"/>
  <c r="F71" i="75"/>
  <c r="F70" i="75"/>
  <c r="F69" i="75"/>
  <c r="F68" i="75"/>
  <c r="F67" i="75"/>
  <c r="F66" i="75"/>
  <c r="F65" i="75"/>
  <c r="F64" i="75"/>
  <c r="F61" i="75"/>
  <c r="F54" i="75"/>
  <c r="F53" i="75"/>
  <c r="F52" i="75"/>
  <c r="F51" i="75"/>
  <c r="F50" i="75"/>
  <c r="F49" i="75"/>
  <c r="F48" i="75"/>
  <c r="F47" i="75"/>
  <c r="F44" i="75"/>
  <c r="F108" i="75"/>
  <c r="F91" i="75"/>
  <c r="F72" i="75"/>
  <c r="F55" i="75"/>
  <c r="F36" i="75"/>
  <c r="F35" i="75"/>
  <c r="F34" i="75"/>
  <c r="F33" i="75"/>
  <c r="F32" i="75"/>
  <c r="F31" i="75"/>
  <c r="F30" i="75"/>
  <c r="F29" i="75"/>
  <c r="F28" i="75"/>
  <c r="F25" i="75"/>
  <c r="F20" i="75"/>
  <c r="F19" i="75"/>
  <c r="F18" i="75"/>
  <c r="F17" i="75"/>
  <c r="F16" i="75"/>
  <c r="F15" i="75"/>
  <c r="F14" i="75"/>
  <c r="F13" i="75"/>
  <c r="F12" i="75"/>
  <c r="F11" i="75"/>
  <c r="F10" i="75"/>
  <c r="F9" i="75"/>
  <c r="F8" i="75"/>
  <c r="F7" i="75"/>
  <c r="F6" i="75"/>
  <c r="F79" i="75"/>
  <c r="F60" i="75"/>
  <c r="F43" i="75"/>
  <c r="F24" i="75"/>
  <c r="I77" i="71"/>
  <c r="I75" i="71" l="1"/>
  <c r="I221" i="71"/>
  <c r="I180" i="71" l="1"/>
  <c r="I257" i="71"/>
  <c r="I262" i="71"/>
  <c r="I19" i="71"/>
  <c r="I18" i="71"/>
  <c r="I20" i="71"/>
  <c r="I239" i="71"/>
  <c r="I229" i="71"/>
  <c r="I219" i="71"/>
  <c r="I209" i="71"/>
  <c r="I199" i="71"/>
  <c r="I254" i="71" l="1"/>
  <c r="I23" i="71"/>
  <c r="I55" i="71"/>
  <c r="I28" i="71"/>
  <c r="I30" i="71" l="1"/>
  <c r="I265" i="71" s="1"/>
  <c r="I264" i="71"/>
  <c r="E109" i="75"/>
  <c r="E110" i="75" s="1"/>
  <c r="D109" i="75"/>
  <c r="D110" i="75" s="1"/>
  <c r="E92" i="75"/>
  <c r="E93" i="75" s="1"/>
  <c r="D92" i="75"/>
  <c r="D93" i="75" s="1"/>
  <c r="E73" i="75"/>
  <c r="E74" i="75" s="1"/>
  <c r="D73" i="75"/>
  <c r="D74" i="75" s="1"/>
  <c r="E56" i="75"/>
  <c r="E57" i="75" s="1"/>
  <c r="D56" i="75"/>
  <c r="D57" i="75" s="1"/>
  <c r="E37" i="75"/>
  <c r="F21" i="75"/>
  <c r="F113" i="75" s="1"/>
  <c r="E21" i="75"/>
  <c r="E113" i="75" s="1"/>
  <c r="D113" i="75"/>
  <c r="F293" i="71"/>
  <c r="D293" i="71"/>
  <c r="F290" i="71"/>
  <c r="D290" i="71"/>
  <c r="Y275" i="71"/>
  <c r="X275" i="71"/>
  <c r="W275" i="71"/>
  <c r="V275" i="71"/>
  <c r="T275" i="71"/>
  <c r="S275" i="71"/>
  <c r="R275" i="71"/>
  <c r="Q275" i="71"/>
  <c r="P275" i="71"/>
  <c r="O275" i="71"/>
  <c r="E275" i="71"/>
  <c r="Y262" i="71"/>
  <c r="X262" i="71"/>
  <c r="W262" i="71"/>
  <c r="V262" i="71"/>
  <c r="T262" i="71"/>
  <c r="S262" i="71"/>
  <c r="R262" i="71"/>
  <c r="Q262" i="71"/>
  <c r="P262" i="71"/>
  <c r="O262" i="71"/>
  <c r="N262" i="71"/>
  <c r="G262" i="71"/>
  <c r="F262" i="71"/>
  <c r="E262" i="71"/>
  <c r="D262" i="71"/>
  <c r="Y257" i="71"/>
  <c r="X257" i="71"/>
  <c r="W257" i="71"/>
  <c r="V257" i="71"/>
  <c r="T257" i="71"/>
  <c r="S257" i="71"/>
  <c r="R257" i="71"/>
  <c r="Q257" i="71"/>
  <c r="P257" i="71"/>
  <c r="O257" i="71"/>
  <c r="N257" i="71"/>
  <c r="G257" i="71"/>
  <c r="F257" i="71"/>
  <c r="E257" i="71"/>
  <c r="D257" i="71"/>
  <c r="Y254" i="71"/>
  <c r="X254" i="71"/>
  <c r="W254" i="71"/>
  <c r="V254" i="71"/>
  <c r="T254" i="71"/>
  <c r="S254" i="71"/>
  <c r="R254" i="71"/>
  <c r="Q254" i="71"/>
  <c r="P254" i="71"/>
  <c r="O254" i="71"/>
  <c r="N254" i="71"/>
  <c r="F254" i="71"/>
  <c r="E254" i="71"/>
  <c r="D254" i="71"/>
  <c r="G241" i="71"/>
  <c r="G239" i="71"/>
  <c r="G231" i="71"/>
  <c r="G229" i="71"/>
  <c r="G221" i="71"/>
  <c r="G219" i="71"/>
  <c r="G211" i="71"/>
  <c r="G209" i="71"/>
  <c r="G201" i="71"/>
  <c r="G199" i="71"/>
  <c r="Y180" i="71"/>
  <c r="X180" i="71"/>
  <c r="W180" i="71"/>
  <c r="V180" i="71"/>
  <c r="T180" i="71"/>
  <c r="S180" i="71"/>
  <c r="R180" i="71"/>
  <c r="Q180" i="71"/>
  <c r="P180" i="71"/>
  <c r="O180" i="71"/>
  <c r="F180" i="71"/>
  <c r="E180" i="71"/>
  <c r="D180" i="71"/>
  <c r="G88" i="71"/>
  <c r="G180" i="71" s="1"/>
  <c r="Y55" i="71"/>
  <c r="X55" i="71"/>
  <c r="W55" i="71"/>
  <c r="V55" i="71"/>
  <c r="T55" i="71"/>
  <c r="S55" i="71"/>
  <c r="R55" i="71"/>
  <c r="Q55" i="71"/>
  <c r="P55" i="71"/>
  <c r="O55" i="71"/>
  <c r="N55" i="71"/>
  <c r="G55" i="71"/>
  <c r="F55" i="71"/>
  <c r="E55" i="71"/>
  <c r="D55" i="71"/>
  <c r="Y28" i="71"/>
  <c r="X28" i="71"/>
  <c r="W28" i="71"/>
  <c r="V28" i="71"/>
  <c r="T28" i="71"/>
  <c r="S28" i="71"/>
  <c r="R28" i="71"/>
  <c r="Q28" i="71"/>
  <c r="P28" i="71"/>
  <c r="N28" i="71"/>
  <c r="G28" i="71"/>
  <c r="F28" i="71"/>
  <c r="E28" i="71"/>
  <c r="D28" i="71"/>
  <c r="Y23" i="71"/>
  <c r="X23" i="71"/>
  <c r="W23" i="71"/>
  <c r="V23" i="71"/>
  <c r="T23" i="71"/>
  <c r="S23" i="71"/>
  <c r="R23" i="71"/>
  <c r="Q23" i="71"/>
  <c r="O23" i="71"/>
  <c r="N23" i="71"/>
  <c r="G23" i="71"/>
  <c r="F23" i="71"/>
  <c r="E23" i="71"/>
  <c r="D23" i="71"/>
  <c r="I267" i="71" l="1"/>
  <c r="O30" i="71"/>
  <c r="O265" i="71" s="1"/>
  <c r="P30" i="71"/>
  <c r="P265" i="71" s="1"/>
  <c r="W30" i="71"/>
  <c r="W265" i="71" s="1"/>
  <c r="V30" i="71"/>
  <c r="V265" i="71" s="1"/>
  <c r="F30" i="71"/>
  <c r="F265" i="71" s="1"/>
  <c r="G30" i="71"/>
  <c r="G265" i="71" s="1"/>
  <c r="T30" i="71"/>
  <c r="T265" i="71" s="1"/>
  <c r="N30" i="71"/>
  <c r="N265" i="71" s="1"/>
  <c r="E112" i="75"/>
  <c r="E114" i="75" s="1"/>
  <c r="N73" i="75"/>
  <c r="N74" i="75" s="1"/>
  <c r="N92" i="75"/>
  <c r="O264" i="71"/>
  <c r="O109" i="75"/>
  <c r="O110" i="75" s="1"/>
  <c r="W264" i="71"/>
  <c r="L109" i="75"/>
  <c r="L110" i="75" s="1"/>
  <c r="N109" i="75"/>
  <c r="N110" i="75" s="1"/>
  <c r="Q56" i="75"/>
  <c r="Q57" i="75" s="1"/>
  <c r="L56" i="75"/>
  <c r="L57" i="75" s="1"/>
  <c r="T56" i="75"/>
  <c r="T57" i="75" s="1"/>
  <c r="S56" i="75"/>
  <c r="S57" i="75" s="1"/>
  <c r="O38" i="75"/>
  <c r="W56" i="75"/>
  <c r="W57" i="75" s="1"/>
  <c r="O56" i="75"/>
  <c r="O57" i="75" s="1"/>
  <c r="R73" i="75"/>
  <c r="R74" i="75" s="1"/>
  <c r="S92" i="75"/>
  <c r="S93" i="75" s="1"/>
  <c r="R92" i="75"/>
  <c r="R93" i="75" s="1"/>
  <c r="S109" i="75"/>
  <c r="S110" i="75" s="1"/>
  <c r="P264" i="71"/>
  <c r="X264" i="71"/>
  <c r="Q264" i="71"/>
  <c r="Y264" i="71"/>
  <c r="D30" i="71"/>
  <c r="D265" i="71" s="1"/>
  <c r="R30" i="71"/>
  <c r="R265" i="71" s="1"/>
  <c r="E30" i="71"/>
  <c r="E265" i="71" s="1"/>
  <c r="S30" i="71"/>
  <c r="S265" i="71" s="1"/>
  <c r="D264" i="71"/>
  <c r="R264" i="71"/>
  <c r="E264" i="71"/>
  <c r="S264" i="71"/>
  <c r="X30" i="71"/>
  <c r="X265" i="71" s="1"/>
  <c r="F264" i="71"/>
  <c r="T264" i="71"/>
  <c r="Q30" i="71"/>
  <c r="Q265" i="71" s="1"/>
  <c r="Y30" i="71"/>
  <c r="Y265" i="71" s="1"/>
  <c r="G254" i="71"/>
  <c r="G264" i="71" s="1"/>
  <c r="V264" i="71"/>
  <c r="T109" i="75"/>
  <c r="T110" i="75" s="1"/>
  <c r="Q38" i="75"/>
  <c r="O73" i="75"/>
  <c r="O74" i="75" s="1"/>
  <c r="S38" i="75"/>
  <c r="R56" i="75"/>
  <c r="R57" i="75" s="1"/>
  <c r="Q73" i="75"/>
  <c r="Q74" i="75" s="1"/>
  <c r="S21" i="75"/>
  <c r="S113" i="75" s="1"/>
  <c r="L38" i="75"/>
  <c r="T38" i="75"/>
  <c r="N38" i="75"/>
  <c r="M56" i="75"/>
  <c r="M57" i="75" s="1"/>
  <c r="L73" i="75"/>
  <c r="L74" i="75" s="1"/>
  <c r="T73" i="75"/>
  <c r="T74" i="75" s="1"/>
  <c r="Q109" i="75"/>
  <c r="Q110" i="75" s="1"/>
  <c r="O21" i="75"/>
  <c r="O113" i="75" s="1"/>
  <c r="W113" i="75"/>
  <c r="U38" i="75"/>
  <c r="L92" i="75"/>
  <c r="T92" i="75"/>
  <c r="T93" i="75" s="1"/>
  <c r="R109" i="75"/>
  <c r="R110" i="75" s="1"/>
  <c r="Q21" i="75"/>
  <c r="Q113" i="75" s="1"/>
  <c r="R21" i="75"/>
  <c r="R113" i="75" s="1"/>
  <c r="N56" i="75"/>
  <c r="N57" i="75" s="1"/>
  <c r="V56" i="75"/>
  <c r="V57" i="75" s="1"/>
  <c r="S73" i="75"/>
  <c r="S74" i="75" s="1"/>
  <c r="O92" i="75"/>
  <c r="O93" i="75" s="1"/>
  <c r="P21" i="75"/>
  <c r="P113" i="75" s="1"/>
  <c r="L21" i="75"/>
  <c r="L113" i="75" s="1"/>
  <c r="T21" i="75"/>
  <c r="T113" i="75" s="1"/>
  <c r="R38" i="75"/>
  <c r="Q92" i="75"/>
  <c r="Q93" i="75" s="1"/>
  <c r="M21" i="75"/>
  <c r="M113" i="75" s="1"/>
  <c r="U21" i="75"/>
  <c r="U113" i="75" s="1"/>
  <c r="U114" i="75" s="1"/>
  <c r="N21" i="75"/>
  <c r="N113" i="75" s="1"/>
  <c r="V21" i="75"/>
  <c r="V113" i="75" s="1"/>
  <c r="E38" i="75"/>
  <c r="D267" i="71" l="1"/>
  <c r="D278" i="71" s="1"/>
  <c r="D283" i="71" s="1"/>
  <c r="D271" i="71" s="1"/>
  <c r="D275" i="71" s="1"/>
  <c r="D288" i="71" s="1"/>
  <c r="D291" i="71" s="1"/>
  <c r="D295" i="71" s="1"/>
  <c r="F267" i="71"/>
  <c r="F278" i="71" s="1"/>
  <c r="F283" i="71" s="1"/>
  <c r="F271" i="71" s="1"/>
  <c r="F275" i="71" s="1"/>
  <c r="F288" i="71" s="1"/>
  <c r="F291" i="71" s="1"/>
  <c r="F295" i="71" s="1"/>
  <c r="W267" i="71"/>
  <c r="W278" i="71" s="1"/>
  <c r="W283" i="71" s="1"/>
  <c r="V267" i="71"/>
  <c r="V278" i="71" s="1"/>
  <c r="V283" i="71" s="1"/>
  <c r="T267" i="71"/>
  <c r="T278" i="71" s="1"/>
  <c r="T283" i="71" s="1"/>
  <c r="S267" i="71"/>
  <c r="S278" i="71" s="1"/>
  <c r="S283" i="71" s="1"/>
  <c r="R267" i="71"/>
  <c r="R278" i="71" s="1"/>
  <c r="R283" i="71" s="1"/>
  <c r="N112" i="75"/>
  <c r="N114" i="75" s="1"/>
  <c r="P267" i="71"/>
  <c r="P278" i="71" s="1"/>
  <c r="P283" i="71" s="1"/>
  <c r="O267" i="71"/>
  <c r="O278" i="71" s="1"/>
  <c r="O283" i="71" s="1"/>
  <c r="G267" i="71"/>
  <c r="E267" i="71"/>
  <c r="E278" i="71" s="1"/>
  <c r="E283" i="71" s="1"/>
  <c r="X267" i="71"/>
  <c r="X278" i="71" s="1"/>
  <c r="X283" i="71" s="1"/>
  <c r="L112" i="75"/>
  <c r="L114" i="75" s="1"/>
  <c r="Q112" i="75"/>
  <c r="Q114" i="75" s="1"/>
  <c r="S112" i="75"/>
  <c r="S114" i="75" s="1"/>
  <c r="O112" i="75"/>
  <c r="O114" i="75" s="1"/>
  <c r="W112" i="75"/>
  <c r="W114" i="75" s="1"/>
  <c r="Y267" i="71"/>
  <c r="Y278" i="71" s="1"/>
  <c r="Y283" i="71" s="1"/>
  <c r="Q267" i="71"/>
  <c r="Q278" i="71" s="1"/>
  <c r="Q283" i="71" s="1"/>
  <c r="M112" i="75"/>
  <c r="M114" i="75" s="1"/>
  <c r="R112" i="75"/>
  <c r="R114" i="75" s="1"/>
  <c r="T112" i="75"/>
  <c r="T114" i="75" s="1"/>
  <c r="P112" i="75"/>
  <c r="P114" i="75" s="1"/>
  <c r="V112" i="75"/>
  <c r="V114" i="75" s="1"/>
  <c r="I238" i="1" l="1"/>
  <c r="I109" i="1"/>
  <c r="I78" i="1" s="1"/>
  <c r="I70" i="1"/>
  <c r="I23" i="1"/>
  <c r="I11" i="1"/>
  <c r="I7" i="1"/>
  <c r="I281" i="1" l="1"/>
  <c r="I74" i="1"/>
  <c r="U293" i="1" l="1"/>
  <c r="U70" i="1"/>
  <c r="U66" i="1"/>
  <c r="U60" i="1" s="1"/>
  <c r="U51" i="1"/>
  <c r="U44" i="1"/>
  <c r="U32" i="1"/>
  <c r="U23" i="1"/>
  <c r="U7" i="1"/>
  <c r="U261" i="1" l="1"/>
  <c r="U270" i="1"/>
  <c r="U27" i="1"/>
  <c r="U127" i="1"/>
  <c r="U269" i="1"/>
  <c r="U11" i="1"/>
  <c r="U18" i="1"/>
  <c r="U144" i="1"/>
  <c r="U251" i="1"/>
  <c r="U275" i="1"/>
  <c r="U265" i="1"/>
  <c r="U102" i="1"/>
  <c r="U168" i="1"/>
  <c r="U37" i="1"/>
  <c r="U36" i="1" s="1"/>
  <c r="U208" i="1"/>
  <c r="U228" i="1"/>
  <c r="U190" i="1"/>
  <c r="U220" i="1"/>
  <c r="U117" i="1"/>
  <c r="U184" i="1"/>
  <c r="U202" i="1"/>
  <c r="U238" i="1"/>
  <c r="U214" i="1"/>
  <c r="U96" i="1"/>
  <c r="U109" i="1"/>
  <c r="U132" i="1"/>
  <c r="U156" i="1"/>
  <c r="U174" i="1"/>
  <c r="U196" i="1"/>
  <c r="U86" i="1"/>
  <c r="U274" i="1"/>
  <c r="U250" i="1" l="1"/>
  <c r="U6" i="1"/>
  <c r="U183" i="1"/>
  <c r="U116" i="1" s="1"/>
  <c r="U78" i="1"/>
  <c r="U74" i="1" l="1"/>
  <c r="U281" i="1" s="1"/>
  <c r="U280" i="1"/>
  <c r="U282" i="1" l="1"/>
  <c r="U297" i="1" s="1"/>
  <c r="U302" i="1" s="1"/>
  <c r="Q293" i="1"/>
  <c r="P293" i="1"/>
  <c r="Q281" i="1" l="1"/>
  <c r="P281" i="1"/>
  <c r="B63" i="1"/>
  <c r="B38" i="1"/>
  <c r="B37" i="1"/>
  <c r="B36" i="1"/>
  <c r="B35" i="1"/>
  <c r="B34" i="1"/>
  <c r="B33" i="1"/>
  <c r="F32" i="1"/>
  <c r="E32" i="1"/>
  <c r="G32" i="1"/>
  <c r="B32" i="1"/>
  <c r="B31" i="1"/>
  <c r="B30" i="1"/>
  <c r="B29" i="1"/>
  <c r="B28" i="1"/>
  <c r="F27" i="1"/>
  <c r="E27" i="1"/>
  <c r="G27" i="1"/>
  <c r="B27" i="1"/>
  <c r="B26" i="1"/>
  <c r="B25" i="1"/>
  <c r="B24" i="1"/>
  <c r="F23" i="1"/>
  <c r="B23" i="1"/>
  <c r="B22" i="1"/>
  <c r="B21" i="1"/>
  <c r="B20" i="1"/>
  <c r="B19" i="1"/>
  <c r="F18" i="1"/>
  <c r="E18" i="1"/>
  <c r="B18" i="1"/>
  <c r="B17" i="1"/>
  <c r="B16" i="1"/>
  <c r="B15" i="1"/>
  <c r="B14" i="1"/>
  <c r="B13" i="1"/>
  <c r="B12" i="1"/>
  <c r="F11" i="1"/>
  <c r="E11" i="1"/>
  <c r="G11" i="1"/>
  <c r="B11" i="1"/>
  <c r="B10" i="1"/>
  <c r="B9" i="1"/>
  <c r="B8" i="1"/>
  <c r="F7" i="1"/>
  <c r="E7" i="1"/>
  <c r="B7" i="1"/>
  <c r="B6" i="1"/>
  <c r="Q280" i="1" l="1"/>
  <c r="Q282" i="1" s="1"/>
  <c r="Q297" i="1" s="1"/>
  <c r="Q302" i="1" s="1"/>
  <c r="P280" i="1"/>
  <c r="P282" i="1" s="1"/>
  <c r="P297" i="1" s="1"/>
  <c r="P302" i="1" s="1"/>
  <c r="F293" i="1" l="1"/>
  <c r="F275" i="1" l="1"/>
  <c r="F274" i="1"/>
  <c r="F270" i="1"/>
  <c r="F269" i="1"/>
  <c r="F265" i="1"/>
  <c r="F261" i="1"/>
  <c r="F251" i="1"/>
  <c r="F174" i="1"/>
  <c r="F168" i="1"/>
  <c r="F127" i="1"/>
  <c r="F117" i="1"/>
  <c r="F109" i="1"/>
  <c r="F102" i="1"/>
  <c r="F96" i="1"/>
  <c r="F79" i="1"/>
  <c r="F86" i="1" l="1"/>
  <c r="F250" i="1"/>
  <c r="F61" i="1" l="1"/>
  <c r="G9" i="1" l="1"/>
  <c r="G8" i="1"/>
  <c r="G7" i="1" l="1"/>
  <c r="E274" i="1"/>
  <c r="E269" i="1"/>
  <c r="G274" i="1"/>
  <c r="G261" i="1"/>
  <c r="F280" i="1" l="1"/>
  <c r="G168" i="1"/>
  <c r="E251" i="1" l="1"/>
  <c r="G109" i="1"/>
  <c r="E309" i="1" l="1"/>
  <c r="E307" i="1"/>
  <c r="E308" i="1" s="1"/>
  <c r="E293" i="1"/>
  <c r="E302" i="1"/>
  <c r="E310" i="1" l="1"/>
  <c r="G238" i="1" l="1"/>
  <c r="E238" i="1"/>
  <c r="B236" i="1" l="1"/>
  <c r="E168" i="1" l="1"/>
  <c r="E109" i="1"/>
  <c r="G265" i="1"/>
  <c r="G137" i="1"/>
  <c r="G161" i="1"/>
  <c r="G197" i="1"/>
  <c r="G61" i="1"/>
  <c r="G66" i="1"/>
  <c r="G70" i="1"/>
  <c r="G269" i="1"/>
  <c r="G270" i="1"/>
  <c r="G275" i="1"/>
  <c r="B39" i="1"/>
  <c r="B40" i="1"/>
  <c r="B41" i="1"/>
  <c r="B42" i="1"/>
  <c r="B43" i="1"/>
  <c r="B44" i="1"/>
  <c r="B45" i="1"/>
  <c r="B46" i="1"/>
  <c r="B47" i="1"/>
  <c r="B48" i="1"/>
  <c r="B49" i="1"/>
  <c r="B50" i="1"/>
  <c r="B51" i="1"/>
  <c r="B52" i="1"/>
  <c r="B53" i="1"/>
  <c r="B54" i="1"/>
  <c r="B55" i="1"/>
  <c r="B56" i="1"/>
  <c r="B57" i="1"/>
  <c r="B58" i="1"/>
  <c r="B59" i="1"/>
  <c r="B60" i="1"/>
  <c r="B61" i="1"/>
  <c r="B62" i="1"/>
  <c r="B64" i="1"/>
  <c r="B65" i="1"/>
  <c r="B66" i="1"/>
  <c r="B67" i="1"/>
  <c r="B68" i="1"/>
  <c r="B69" i="1"/>
  <c r="B70" i="1"/>
  <c r="B71" i="1"/>
  <c r="B72" i="1"/>
  <c r="B73" i="1"/>
  <c r="B74" i="1"/>
  <c r="B75" i="1"/>
  <c r="B76" i="1"/>
  <c r="B77" i="1"/>
  <c r="B78" i="1"/>
  <c r="B79" i="1"/>
  <c r="B80" i="1"/>
  <c r="B81" i="1"/>
  <c r="B82" i="1"/>
  <c r="B83" i="1"/>
  <c r="B84" i="1"/>
  <c r="B85" i="1"/>
  <c r="B86" i="1"/>
  <c r="B87" i="1"/>
  <c r="B88" i="1"/>
  <c r="B89" i="1"/>
  <c r="B90" i="1"/>
  <c r="B91" i="1"/>
  <c r="B92" i="1"/>
  <c r="B93" i="1"/>
  <c r="B94" i="1"/>
  <c r="B95" i="1"/>
  <c r="B96" i="1"/>
  <c r="B97" i="1"/>
  <c r="B98" i="1"/>
  <c r="B99" i="1"/>
  <c r="B100" i="1"/>
  <c r="B101" i="1"/>
  <c r="B102" i="1"/>
  <c r="B103" i="1"/>
  <c r="B104" i="1"/>
  <c r="B105" i="1"/>
  <c r="B106" i="1"/>
  <c r="B107" i="1"/>
  <c r="B108" i="1"/>
  <c r="B109" i="1"/>
  <c r="B110" i="1"/>
  <c r="B111" i="1"/>
  <c r="B112" i="1"/>
  <c r="B113" i="1"/>
  <c r="B114" i="1"/>
  <c r="B115" i="1"/>
  <c r="B116" i="1"/>
  <c r="B117" i="1"/>
  <c r="B118" i="1"/>
  <c r="B119" i="1"/>
  <c r="B120" i="1"/>
  <c r="B121" i="1"/>
  <c r="B122" i="1"/>
  <c r="B123" i="1"/>
  <c r="B124" i="1"/>
  <c r="B125" i="1"/>
  <c r="B126" i="1"/>
  <c r="B127" i="1"/>
  <c r="B128" i="1"/>
  <c r="B129" i="1"/>
  <c r="B130" i="1"/>
  <c r="B131" i="1"/>
  <c r="B132" i="1"/>
  <c r="B133" i="1"/>
  <c r="B134" i="1"/>
  <c r="B135" i="1"/>
  <c r="B136" i="1"/>
  <c r="B137" i="1"/>
  <c r="B138" i="1"/>
  <c r="B139" i="1"/>
  <c r="B140" i="1"/>
  <c r="B141" i="1"/>
  <c r="B142" i="1"/>
  <c r="B143" i="1"/>
  <c r="B144" i="1"/>
  <c r="B145" i="1"/>
  <c r="B146" i="1"/>
  <c r="B147" i="1"/>
  <c r="B148" i="1"/>
  <c r="B149" i="1"/>
  <c r="B150" i="1"/>
  <c r="B151" i="1"/>
  <c r="B152" i="1"/>
  <c r="B153" i="1"/>
  <c r="B154" i="1"/>
  <c r="B155" i="1"/>
  <c r="B156" i="1"/>
  <c r="B157" i="1"/>
  <c r="B158" i="1"/>
  <c r="B159" i="1"/>
  <c r="B160" i="1"/>
  <c r="B161" i="1"/>
  <c r="B162" i="1"/>
  <c r="B163" i="1"/>
  <c r="B164" i="1"/>
  <c r="B165" i="1"/>
  <c r="B166" i="1"/>
  <c r="B167" i="1"/>
  <c r="B168" i="1"/>
  <c r="B169" i="1"/>
  <c r="B170" i="1"/>
  <c r="B171" i="1"/>
  <c r="B172" i="1"/>
  <c r="B173" i="1"/>
  <c r="B174" i="1"/>
  <c r="B175" i="1"/>
  <c r="B176" i="1"/>
  <c r="B177" i="1"/>
  <c r="B178" i="1"/>
  <c r="B179" i="1"/>
  <c r="B180" i="1"/>
  <c r="B181" i="1"/>
  <c r="B182" i="1"/>
  <c r="B183" i="1"/>
  <c r="B184" i="1"/>
  <c r="B185" i="1"/>
  <c r="B186" i="1"/>
  <c r="B187" i="1"/>
  <c r="B188" i="1"/>
  <c r="B189" i="1"/>
  <c r="B190" i="1"/>
  <c r="B191" i="1"/>
  <c r="B192" i="1"/>
  <c r="B193" i="1"/>
  <c r="B194" i="1"/>
  <c r="B195" i="1"/>
  <c r="B196" i="1"/>
  <c r="B197" i="1"/>
  <c r="B198" i="1"/>
  <c r="B199" i="1"/>
  <c r="B200" i="1"/>
  <c r="B201" i="1"/>
  <c r="B202" i="1"/>
  <c r="B205" i="1"/>
  <c r="B206" i="1"/>
  <c r="B207" i="1"/>
  <c r="B208" i="1"/>
  <c r="B209" i="1"/>
  <c r="B210" i="1"/>
  <c r="B211" i="1"/>
  <c r="B212" i="1"/>
  <c r="B213" i="1"/>
  <c r="B214" i="1"/>
  <c r="B215" i="1"/>
  <c r="B216" i="1"/>
  <c r="B217" i="1"/>
  <c r="B218" i="1"/>
  <c r="B219" i="1"/>
  <c r="B220" i="1"/>
  <c r="B221" i="1"/>
  <c r="B222" i="1"/>
  <c r="B223" i="1"/>
  <c r="B224" i="1"/>
  <c r="B225" i="1"/>
  <c r="B226" i="1"/>
  <c r="B227" i="1"/>
  <c r="B228" i="1"/>
  <c r="B229" i="1"/>
  <c r="B230" i="1"/>
  <c r="B231" i="1"/>
  <c r="B232" i="1"/>
  <c r="B233" i="1"/>
  <c r="B234" i="1"/>
  <c r="B235" i="1"/>
  <c r="B237" i="1"/>
  <c r="B238" i="1"/>
  <c r="B239" i="1"/>
  <c r="B240" i="1"/>
  <c r="B241" i="1"/>
  <c r="B242" i="1"/>
  <c r="B243" i="1"/>
  <c r="B244" i="1"/>
  <c r="B245" i="1"/>
  <c r="B246" i="1"/>
  <c r="B247" i="1"/>
  <c r="B248" i="1"/>
  <c r="B249" i="1"/>
  <c r="B250" i="1"/>
  <c r="B251" i="1"/>
  <c r="B252" i="1"/>
  <c r="B253" i="1"/>
  <c r="B254" i="1"/>
  <c r="B255" i="1"/>
  <c r="B256" i="1"/>
  <c r="B257" i="1"/>
  <c r="B258" i="1"/>
  <c r="B259" i="1"/>
  <c r="B260" i="1"/>
  <c r="B261" i="1"/>
  <c r="B262" i="1"/>
  <c r="B263" i="1"/>
  <c r="B264" i="1"/>
  <c r="B265" i="1"/>
  <c r="B266" i="1"/>
  <c r="B267" i="1"/>
  <c r="B268" i="1"/>
  <c r="B269" i="1"/>
  <c r="B270" i="1"/>
  <c r="B271" i="1"/>
  <c r="B272" i="1"/>
  <c r="B273" i="1"/>
  <c r="B274" i="1"/>
  <c r="B275" i="1"/>
  <c r="B276" i="1"/>
  <c r="B277" i="1"/>
  <c r="B278" i="1"/>
  <c r="B279" i="1"/>
  <c r="B280" i="1"/>
  <c r="B281" i="1"/>
  <c r="B282" i="1"/>
  <c r="D19" i="79" l="1"/>
  <c r="D31" i="75"/>
  <c r="D28" i="75"/>
  <c r="D16" i="79"/>
  <c r="D14" i="79"/>
  <c r="D26" i="75"/>
  <c r="G127" i="1"/>
  <c r="G60" i="1"/>
  <c r="D37" i="75" l="1"/>
  <c r="D38" i="75" s="1"/>
  <c r="D25" i="79"/>
  <c r="D26" i="79" s="1"/>
  <c r="F70" i="1"/>
  <c r="F66" i="1"/>
  <c r="F51" i="1"/>
  <c r="F44" i="1"/>
  <c r="D112" i="75" l="1"/>
  <c r="D114" i="75" s="1"/>
  <c r="F6" i="1"/>
  <c r="F60" i="1"/>
  <c r="F281" i="1" l="1"/>
  <c r="F282" i="1" s="1"/>
  <c r="F297" i="1" s="1"/>
  <c r="F302" i="1" s="1"/>
  <c r="F74" i="1"/>
  <c r="E117" i="1" l="1"/>
  <c r="E161" i="1"/>
  <c r="E149" i="1"/>
  <c r="E137" i="1"/>
  <c r="E127" i="1" l="1"/>
  <c r="G251" i="1" l="1"/>
  <c r="G250" i="1"/>
  <c r="E23" i="1" l="1"/>
  <c r="G23" i="1"/>
  <c r="G174" i="1" l="1"/>
  <c r="E174" i="1"/>
  <c r="G74" i="1"/>
  <c r="G281" i="1" l="1"/>
  <c r="E70" i="1" l="1"/>
  <c r="G79" i="1" l="1"/>
  <c r="G280" i="1" l="1"/>
  <c r="G282" i="1" s="1"/>
  <c r="E261" i="1"/>
  <c r="E275" i="1" l="1"/>
  <c r="E270" i="1" l="1"/>
  <c r="E265" i="1" s="1"/>
  <c r="E250" i="1" s="1"/>
  <c r="E280" i="1" s="1"/>
  <c r="E285" i="1" s="1"/>
  <c r="E61" i="1" l="1"/>
  <c r="E66" i="1"/>
  <c r="E60" i="1" l="1"/>
  <c r="E281" i="1" l="1"/>
  <c r="E282" i="1" s="1"/>
  <c r="E74" i="1" l="1"/>
  <c r="N180" i="71" l="1"/>
  <c r="N264" i="71" s="1"/>
  <c r="N267" i="71" s="1"/>
  <c r="N278" i="71" s="1"/>
  <c r="N283" i="71" s="1"/>
  <c r="F26" i="75" l="1"/>
  <c r="F81" i="75"/>
  <c r="F45" i="75"/>
  <c r="F98" i="75"/>
  <c r="F62" i="75"/>
  <c r="F14" i="80"/>
  <c r="F14" i="79"/>
  <c r="F14" i="82"/>
  <c r="F15" i="85"/>
  <c r="F15" i="84"/>
  <c r="I132" i="1"/>
  <c r="I116" i="1" s="1"/>
  <c r="I280" i="1" s="1"/>
  <c r="I282" i="1" s="1"/>
  <c r="F15" i="80"/>
  <c r="F82" i="75"/>
  <c r="F15" i="82"/>
  <c r="F16" i="84"/>
  <c r="F16" i="85"/>
  <c r="F27" i="75"/>
  <c r="F99" i="75"/>
  <c r="F46" i="75"/>
  <c r="F15" i="79"/>
  <c r="F63" i="75"/>
  <c r="F37" i="75" l="1"/>
  <c r="F38" i="75" s="1"/>
  <c r="F25" i="82"/>
  <c r="F26" i="82" s="1"/>
  <c r="F92" i="75"/>
  <c r="F93" i="75" s="1"/>
  <c r="F26" i="84"/>
  <c r="F27" i="84" s="1"/>
  <c r="F56" i="75"/>
  <c r="F57" i="75" s="1"/>
  <c r="F109" i="75"/>
  <c r="F110" i="75" s="1"/>
  <c r="F26" i="85"/>
  <c r="F27" i="85" s="1"/>
  <c r="F25" i="80"/>
  <c r="F26" i="80" s="1"/>
  <c r="F25" i="79"/>
  <c r="F26" i="79" s="1"/>
  <c r="F73" i="75"/>
  <c r="F74" i="75" s="1"/>
  <c r="F112" i="75" l="1"/>
  <c r="F114" i="75" s="1"/>
  <c r="N51" i="1" l="1"/>
  <c r="N44" i="1" l="1"/>
  <c r="N37" i="1" l="1"/>
  <c r="N36" i="1" s="1"/>
  <c r="N6" i="1" l="1"/>
  <c r="N74" i="1" s="1"/>
  <c r="N281" i="1" s="1"/>
  <c r="N282" i="1" s="1"/>
</calcChain>
</file>

<file path=xl/sharedStrings.xml><?xml version="1.0" encoding="utf-8"?>
<sst xmlns="http://schemas.openxmlformats.org/spreadsheetml/2006/main" count="2752" uniqueCount="1203">
  <si>
    <t>AStA Entwurf zum HHP 2025/2026</t>
  </si>
  <si>
    <t>Einnahmen der Studierendenschaft</t>
  </si>
  <si>
    <t>Titel</t>
  </si>
  <si>
    <t>Spalte1</t>
  </si>
  <si>
    <t>Titel alt</t>
  </si>
  <si>
    <t>Kontenbezeichnung</t>
  </si>
  <si>
    <t>SOLL HHJ 21-22</t>
  </si>
  <si>
    <t>IST HHJ 21-22</t>
  </si>
  <si>
    <t>SOLL HHJ 22-23
SP 17.12.22</t>
  </si>
  <si>
    <t>IST HHJ 22-23
30.09.2023</t>
  </si>
  <si>
    <t>SOLL HHJ 23-24
SP 11.11.2023</t>
  </si>
  <si>
    <t>IST HHJ 22-23
30.09.20242</t>
  </si>
  <si>
    <t>SOLL HHJ 24-25
SP 07.09.2024</t>
  </si>
  <si>
    <t xml:space="preserve">
IST HHJ 24-25
30.09.2025</t>
  </si>
  <si>
    <t>SOLL HHJ 25-26
SP 07.09.2024
12tel-HH</t>
  </si>
  <si>
    <t>ENTWURF AStA vom 5.7.2026</t>
  </si>
  <si>
    <t xml:space="preserve">
IST HHJ 25-26
31.10.2025</t>
  </si>
  <si>
    <t xml:space="preserve">
IST HHJ 25-26
30.11.2025</t>
  </si>
  <si>
    <t xml:space="preserve">
IST HHJ 25-26
31.12.2025</t>
  </si>
  <si>
    <t xml:space="preserve">
IST HHJ 25-26
31.01.2026</t>
  </si>
  <si>
    <t xml:space="preserve">
IST HHJ 25-26
28.02.2026</t>
  </si>
  <si>
    <t xml:space="preserve">
IST HHJ 25-26
31.03.2026</t>
  </si>
  <si>
    <t xml:space="preserve">
IST HHJ 25-26
30.04.2026</t>
  </si>
  <si>
    <t xml:space="preserve">
IST HHJ 25-26
31.05.2026</t>
  </si>
  <si>
    <t xml:space="preserve">
IST HHJ 25-26
30.06.2026</t>
  </si>
  <si>
    <t xml:space="preserve">
IST HHJ 25-26
31.07.2026</t>
  </si>
  <si>
    <t xml:space="preserve">
IST HHJ 25-26
31.08.2026</t>
  </si>
  <si>
    <t>Plan 1</t>
  </si>
  <si>
    <t>Einnahmen AStA und Studierendenparlament</t>
  </si>
  <si>
    <t>111.00</t>
  </si>
  <si>
    <t>Studierendenschaftsbeiträge</t>
  </si>
  <si>
    <t>111.10</t>
  </si>
  <si>
    <t>341.00 (x0)</t>
  </si>
  <si>
    <t>Wintersemester</t>
  </si>
  <si>
    <t>111.20</t>
  </si>
  <si>
    <t>341.00 (x1)</t>
  </si>
  <si>
    <t>Sommersemester</t>
  </si>
  <si>
    <t>119.00</t>
  </si>
  <si>
    <t>Vermischte Einnahmen</t>
  </si>
  <si>
    <t>119.10</t>
  </si>
  <si>
    <t>125.10, 125.20</t>
  </si>
  <si>
    <t>Werbung und Anzeigen</t>
  </si>
  <si>
    <t>119.20</t>
  </si>
  <si>
    <t>Spenden</t>
  </si>
  <si>
    <t>119.30</t>
  </si>
  <si>
    <t>162.00</t>
  </si>
  <si>
    <t>Zinsen</t>
  </si>
  <si>
    <t>119.40</t>
  </si>
  <si>
    <t>119.22</t>
  </si>
  <si>
    <t>Sonstige</t>
  </si>
  <si>
    <t>129.00</t>
  </si>
  <si>
    <t>Teilnahmebeiträge</t>
  </si>
  <si>
    <t>129.10</t>
  </si>
  <si>
    <t>129.70 (x0,2)</t>
  </si>
  <si>
    <t>AStA Seminare</t>
  </si>
  <si>
    <t>129.20</t>
  </si>
  <si>
    <t>129.70 (x0,8), 129.80 (x0,25), 129.90 (x0,55)</t>
  </si>
  <si>
    <t>AStA-Veranstaltungen</t>
  </si>
  <si>
    <t>129.30</t>
  </si>
  <si>
    <t>n.a.</t>
  </si>
  <si>
    <t>Stupa-Veranstaltungen</t>
  </si>
  <si>
    <t>130.00</t>
  </si>
  <si>
    <t>Einnahmen aus Bewirtung</t>
  </si>
  <si>
    <t>130.10</t>
  </si>
  <si>
    <t>AStA</t>
  </si>
  <si>
    <t>130.20</t>
  </si>
  <si>
    <t>SP-Veranstaltungen</t>
  </si>
  <si>
    <t>140.00</t>
  </si>
  <si>
    <t>Einnahmen aus Förderungen und Kooperationen</t>
  </si>
  <si>
    <t>140.10</t>
  </si>
  <si>
    <t>129.80 (x0,75)</t>
  </si>
  <si>
    <t>Förderungen Inkl. U. Gleichstellung</t>
  </si>
  <si>
    <t>140.20</t>
  </si>
  <si>
    <t>129.90 (x0,45)</t>
  </si>
  <si>
    <t>Förderungen Hopo</t>
  </si>
  <si>
    <t>140.30</t>
  </si>
  <si>
    <t>Sonstige Förderungen und Kooperationen</t>
  </si>
  <si>
    <t>182.00</t>
  </si>
  <si>
    <t>Darlehensrückflüsse</t>
  </si>
  <si>
    <t>182.10</t>
  </si>
  <si>
    <r>
      <t xml:space="preserve">Aus Darlehen </t>
    </r>
    <r>
      <rPr>
        <b/>
        <sz val="11"/>
        <color rgb="FFFF0000"/>
        <rFont val="Calibri"/>
        <family val="2"/>
        <scheme val="minor"/>
      </rPr>
      <t>40 33 01</t>
    </r>
  </si>
  <si>
    <t>182.20</t>
  </si>
  <si>
    <t>Aus Internationalisierungsdarlehen</t>
  </si>
  <si>
    <t>Plan 2</t>
  </si>
  <si>
    <t>Einnahmen Fachschaften</t>
  </si>
  <si>
    <t>210.00</t>
  </si>
  <si>
    <t>Teilnahmebeiträge Seminare Fachschaften</t>
  </si>
  <si>
    <t>210.10</t>
  </si>
  <si>
    <t>FSR WiWi</t>
  </si>
  <si>
    <t>210.20</t>
  </si>
  <si>
    <t>FSR KSW</t>
  </si>
  <si>
    <t>210.30</t>
  </si>
  <si>
    <t>129.60</t>
  </si>
  <si>
    <t>FSR PSY</t>
  </si>
  <si>
    <t>210.40</t>
  </si>
  <si>
    <t>129.40</t>
  </si>
  <si>
    <t>FSR ReWi</t>
  </si>
  <si>
    <t>210.50</t>
  </si>
  <si>
    <t>FSR M+I</t>
  </si>
  <si>
    <t>220.00</t>
  </si>
  <si>
    <t>Teilnahmebeiträge Veranstaltungen Fachschaften</t>
  </si>
  <si>
    <t>220.10</t>
  </si>
  <si>
    <t>220.20</t>
  </si>
  <si>
    <t>220.30</t>
  </si>
  <si>
    <t>220.40</t>
  </si>
  <si>
    <t>220.50</t>
  </si>
  <si>
    <t>230.00</t>
  </si>
  <si>
    <t>Sonstige (Werbung, Förderungen, Bewirtung)</t>
  </si>
  <si>
    <t>230.10</t>
  </si>
  <si>
    <t>230.20</t>
  </si>
  <si>
    <t>230.30</t>
  </si>
  <si>
    <t>230.40</t>
  </si>
  <si>
    <t>230.50</t>
  </si>
  <si>
    <t>Plan 3</t>
  </si>
  <si>
    <t>Rücklagen, Vorjahresvortrag, durchlaufende Gelder</t>
  </si>
  <si>
    <t>352.00</t>
  </si>
  <si>
    <t>Entnahmen aus der Rücklage</t>
  </si>
  <si>
    <t>352.10</t>
  </si>
  <si>
    <t>Allgemeine Rücklage 21 00 01</t>
  </si>
  <si>
    <t>352.20</t>
  </si>
  <si>
    <t>353.00</t>
  </si>
  <si>
    <t>Sonderrücklage Wahlen 20 00 02</t>
  </si>
  <si>
    <t>352.30</t>
  </si>
  <si>
    <t>Schwankungsrücklage Wahlen (Sonstige Rücklage Steuer)</t>
  </si>
  <si>
    <t>360.00</t>
  </si>
  <si>
    <t>Vorjahresvortrag</t>
  </si>
  <si>
    <t>360.10</t>
  </si>
  <si>
    <t>Überschuss Vorjahr</t>
  </si>
  <si>
    <t>360.20</t>
  </si>
  <si>
    <t>Sonstige Vorträge</t>
  </si>
  <si>
    <t>380.00</t>
  </si>
  <si>
    <t>Kautionen, Durchlaufende Gelder AStA</t>
  </si>
  <si>
    <t>382.10</t>
  </si>
  <si>
    <t>Kautionen Materialverleih</t>
  </si>
  <si>
    <t>382.20</t>
  </si>
  <si>
    <t>Vorverkaufseinnahmen Bewirtung</t>
  </si>
  <si>
    <t>Einnahmen Gesamt</t>
  </si>
  <si>
    <t>Ausgaben</t>
  </si>
  <si>
    <t>Plan 4</t>
  </si>
  <si>
    <t>Personalausgaben und Aufwandsentschädigungen</t>
  </si>
  <si>
    <t>412.00</t>
  </si>
  <si>
    <t>Aufwandsentschädigungen Studierendenvertretung</t>
  </si>
  <si>
    <t>412.10</t>
  </si>
  <si>
    <t>412.20 (x0,4), 412.50 (x0,6)</t>
  </si>
  <si>
    <t>Fest-AE SP-Vorsitz, HHA-Vorsitz, AG-Sprecher (§ 43 d. Satzung)</t>
  </si>
  <si>
    <t>412.20</t>
  </si>
  <si>
    <t>412.20 (x0,6), 412.50 (x0,4)</t>
  </si>
  <si>
    <t>Variable AE Stupa, Ausschüsse, Arbeitsgruppen (§ 44 d. Satzung)</t>
  </si>
  <si>
    <t>412.30</t>
  </si>
  <si>
    <t>Fernuni-Gremien (§ 44 d. Satzung)</t>
  </si>
  <si>
    <t>412.40</t>
  </si>
  <si>
    <t>AStA-Beauftragungen</t>
  </si>
  <si>
    <t>412.50</t>
  </si>
  <si>
    <t>412.40, 412.60, 536.10, 538.10, 550.10, 686.11</t>
  </si>
  <si>
    <t>AStA-Veranstaltungen, Gäste, Sonstige (§ 44. d. Satzung)</t>
  </si>
  <si>
    <t>413.00</t>
  </si>
  <si>
    <t>Aufwandsentschädigungen Fachschaften</t>
  </si>
  <si>
    <t>413.10</t>
  </si>
  <si>
    <t>686.31 (x0,52), 686.41 (x0,87), 686.51 (x0,8), 686.61 (x0,33), 686.71 (x0,26)</t>
  </si>
  <si>
    <t>Fest-AE Fachschaften (Fester Wert, 5*800*12) (§ 43 d. Satzung)</t>
  </si>
  <si>
    <t>413.20</t>
  </si>
  <si>
    <t>Variable AE Fachschaften (§ 44 d. Satzung)</t>
  </si>
  <si>
    <t>413.21</t>
  </si>
  <si>
    <t>686.31 (x0,48)</t>
  </si>
  <si>
    <t>Variable AE FSR WiWi</t>
  </si>
  <si>
    <t>413.22</t>
  </si>
  <si>
    <t>686.41 (x0,13)</t>
  </si>
  <si>
    <t>Variable AE FSR KSW</t>
  </si>
  <si>
    <t>413.23</t>
  </si>
  <si>
    <t>686.51 (x0,2)</t>
  </si>
  <si>
    <t>Variable AE FSR PSY</t>
  </si>
  <si>
    <t>413.24</t>
  </si>
  <si>
    <t>686.61 (x0,67)</t>
  </si>
  <si>
    <t>Variable AE FSR ReWi</t>
  </si>
  <si>
    <t>413.25</t>
  </si>
  <si>
    <t>686.71 (x0,74)</t>
  </si>
  <si>
    <t>Variable AE FSR M+I</t>
  </si>
  <si>
    <t>413.30</t>
  </si>
  <si>
    <t>686.21</t>
  </si>
  <si>
    <t>FSRK</t>
  </si>
  <si>
    <t>425.00</t>
  </si>
  <si>
    <t>Beschäftigungen AStA</t>
  </si>
  <si>
    <t>425.10</t>
  </si>
  <si>
    <t>425.11</t>
  </si>
  <si>
    <t>Referate</t>
  </si>
  <si>
    <t>425.20</t>
  </si>
  <si>
    <t>425.12</t>
  </si>
  <si>
    <t>Bundesknappschaft*</t>
  </si>
  <si>
    <t>425.30</t>
  </si>
  <si>
    <t>Sachkostenpauschale</t>
  </si>
  <si>
    <t>425.40</t>
  </si>
  <si>
    <t>425.14</t>
  </si>
  <si>
    <t>VBG Unfallversicherung AStA</t>
  </si>
  <si>
    <t>428.00</t>
  </si>
  <si>
    <t>Personalausgaben Angestellte</t>
  </si>
  <si>
    <t>428.10</t>
  </si>
  <si>
    <t>425.21, 427.10</t>
  </si>
  <si>
    <t>Gehälter Beschäftigte</t>
  </si>
  <si>
    <t>428.20</t>
  </si>
  <si>
    <t>425.22</t>
  </si>
  <si>
    <t>Steuern</t>
  </si>
  <si>
    <t>428.30</t>
  </si>
  <si>
    <t>425.23, 427.20</t>
  </si>
  <si>
    <t>AG-Anteil Sozialversicherung</t>
  </si>
  <si>
    <t>428.40</t>
  </si>
  <si>
    <t>425.24</t>
  </si>
  <si>
    <t>Betriebsrenten</t>
  </si>
  <si>
    <t>428.50</t>
  </si>
  <si>
    <t>425.26</t>
  </si>
  <si>
    <t>VBG Unfallversicherung Büro</t>
  </si>
  <si>
    <t>430.00</t>
  </si>
  <si>
    <t>Weiterbildung und Sonstige Kosten</t>
  </si>
  <si>
    <t>430.10</t>
  </si>
  <si>
    <t>525.10</t>
  </si>
  <si>
    <t>Angestellte</t>
  </si>
  <si>
    <t>430.20</t>
  </si>
  <si>
    <t>525.30</t>
  </si>
  <si>
    <t>430.30</t>
  </si>
  <si>
    <t>525.20</t>
  </si>
  <si>
    <t>Sonstige Stud.Vertr.</t>
  </si>
  <si>
    <t>430.40</t>
  </si>
  <si>
    <t>425.13, 425.25, 527.11, 527.12, 527.13</t>
  </si>
  <si>
    <t>Sonstige Kosten Personal</t>
  </si>
  <si>
    <t>Plan 5</t>
  </si>
  <si>
    <t>Sach-, Allgemein- und Veranstaltungsausgaben</t>
  </si>
  <si>
    <t>511.00</t>
  </si>
  <si>
    <t>Geschäftsausgaben</t>
  </si>
  <si>
    <t>511.10</t>
  </si>
  <si>
    <t>511.12, 511.14, 517.21, 517.22</t>
  </si>
  <si>
    <t>Geschäftskosten allgemein, Versicherungen</t>
  </si>
  <si>
    <t>511.20</t>
  </si>
  <si>
    <t>511.10,  511.15</t>
  </si>
  <si>
    <t>Büromaterial</t>
  </si>
  <si>
    <t>511.30</t>
  </si>
  <si>
    <t>511.17</t>
  </si>
  <si>
    <t>Porto</t>
  </si>
  <si>
    <t>511.40</t>
  </si>
  <si>
    <t>511.11</t>
  </si>
  <si>
    <t>Geldverwaltung und Verwahrgebühren</t>
  </si>
  <si>
    <t>511.60</t>
  </si>
  <si>
    <t>511.41, 511.42</t>
  </si>
  <si>
    <t>Telekommunikation</t>
  </si>
  <si>
    <t>511.70</t>
  </si>
  <si>
    <t>511.44</t>
  </si>
  <si>
    <t>Lizenzen_Ges.</t>
  </si>
  <si>
    <t>511.80</t>
  </si>
  <si>
    <t>511.13, 511.16</t>
  </si>
  <si>
    <t>Publikationen, Bücher, Zeitschriften</t>
  </si>
  <si>
    <t>511.90</t>
  </si>
  <si>
    <t>511.61 (x0,4), 511.43</t>
  </si>
  <si>
    <t>IT-Mieten</t>
  </si>
  <si>
    <t>512.00</t>
  </si>
  <si>
    <t>Anschaffungen, Reparaturen, Renovierungen</t>
  </si>
  <si>
    <t>512.10</t>
  </si>
  <si>
    <t>511.52, 511.53</t>
  </si>
  <si>
    <t>Neuanschaffungen allgemein</t>
  </si>
  <si>
    <t>512.20</t>
  </si>
  <si>
    <t>511.51</t>
  </si>
  <si>
    <t>Neuanschaffungen EDV und Telekommunikation</t>
  </si>
  <si>
    <t>512.40</t>
  </si>
  <si>
    <t>511.62</t>
  </si>
  <si>
    <t>Renovierungen und Instandhaltung</t>
  </si>
  <si>
    <t>527.00</t>
  </si>
  <si>
    <t>Reisekosten intern</t>
  </si>
  <si>
    <t>527.10</t>
  </si>
  <si>
    <t>527.61, 527.62</t>
  </si>
  <si>
    <t>Funktion Unigremien</t>
  </si>
  <si>
    <t>527.20</t>
  </si>
  <si>
    <t>527.21, 527.24, 527.27</t>
  </si>
  <si>
    <t>Fahrtkosten u. Verpfl.-Pauschale Stupa u. Ausschüsse</t>
  </si>
  <si>
    <t>527.30</t>
  </si>
  <si>
    <t>527.31, 527.51,.527.54, 533.20, 536.11, 538.11, 550.11, 686.12</t>
  </si>
  <si>
    <t>FK und VP AStA-Referate und Gäste</t>
  </si>
  <si>
    <t>527.40</t>
  </si>
  <si>
    <t>Fahrtkosten u. Verpflegungspausch. Fachschaften</t>
  </si>
  <si>
    <t>527.41</t>
  </si>
  <si>
    <t>686.32</t>
  </si>
  <si>
    <t>527.42</t>
  </si>
  <si>
    <t>686.42</t>
  </si>
  <si>
    <t>527.43</t>
  </si>
  <si>
    <t>686.52</t>
  </si>
  <si>
    <t>527.44</t>
  </si>
  <si>
    <t>686.62</t>
  </si>
  <si>
    <t>527.45</t>
  </si>
  <si>
    <t>686.72</t>
  </si>
  <si>
    <t>527.50</t>
  </si>
  <si>
    <t>686.22</t>
  </si>
  <si>
    <t>Fachschaftsrätekonferenz</t>
  </si>
  <si>
    <t>529.00</t>
  </si>
  <si>
    <t>Raum- und Unterkunftskosten intern</t>
  </si>
  <si>
    <t>529.10</t>
  </si>
  <si>
    <t>529.20</t>
  </si>
  <si>
    <t>527.22, 527.23, 527.25, 527.26,527.28, 527.29</t>
  </si>
  <si>
    <t>Studierendenparlament und Ausschüsse</t>
  </si>
  <si>
    <t>529.30</t>
  </si>
  <si>
    <t>527.32, 527.33, 527.52, 527.53, 527.55, 527.56, 550.13, 686.14</t>
  </si>
  <si>
    <t>AStA-Referate und Gäste</t>
  </si>
  <si>
    <t>529.40</t>
  </si>
  <si>
    <t>Raum- und Unterkunftskosten Fachschaften</t>
  </si>
  <si>
    <t>529.41</t>
  </si>
  <si>
    <t>686.34</t>
  </si>
  <si>
    <t>WiWi</t>
  </si>
  <si>
    <t>529.42</t>
  </si>
  <si>
    <t>686.44</t>
  </si>
  <si>
    <t>KSW</t>
  </si>
  <si>
    <t>529.43</t>
  </si>
  <si>
    <t>686.54</t>
  </si>
  <si>
    <t>PSY</t>
  </si>
  <si>
    <t>529.44</t>
  </si>
  <si>
    <t>686.64</t>
  </si>
  <si>
    <t>ReWi</t>
  </si>
  <si>
    <t>529.45</t>
  </si>
  <si>
    <t>686.74</t>
  </si>
  <si>
    <t>M+I</t>
  </si>
  <si>
    <t>529.50</t>
  </si>
  <si>
    <t>686.24</t>
  </si>
  <si>
    <t>531.00</t>
  </si>
  <si>
    <t>Bewirtungs- und Repräsentationskosten Intern</t>
  </si>
  <si>
    <t>531.10</t>
  </si>
  <si>
    <t>531.20</t>
  </si>
  <si>
    <t>AStA-Referate + Gäste</t>
  </si>
  <si>
    <t>531.30</t>
  </si>
  <si>
    <t>Sonstige (Kleinigkeiten in der AStA-Küche, Getränke)</t>
  </si>
  <si>
    <t>531.40</t>
  </si>
  <si>
    <t>Bewirtung und Repräsentation Fachschaften</t>
  </si>
  <si>
    <t>531.41</t>
  </si>
  <si>
    <t>686.35 (x0,1)</t>
  </si>
  <si>
    <t>531.42</t>
  </si>
  <si>
    <t>686.45</t>
  </si>
  <si>
    <t>531.43</t>
  </si>
  <si>
    <t>686.55</t>
  </si>
  <si>
    <t>531.44</t>
  </si>
  <si>
    <t>686.65</t>
  </si>
  <si>
    <t>531.45</t>
  </si>
  <si>
    <t>686.75</t>
  </si>
  <si>
    <t>531.50</t>
  </si>
  <si>
    <t>686.25</t>
  </si>
  <si>
    <t>540.00</t>
  </si>
  <si>
    <t>Kooperatives Semestermagazin</t>
  </si>
  <si>
    <t>540.10</t>
  </si>
  <si>
    <t>Druckkosten Kooperatives Semestermagazin</t>
  </si>
  <si>
    <t>540.20</t>
  </si>
  <si>
    <t>Versandkosten Kooperatives Semestermagazin</t>
  </si>
  <si>
    <t>540.30</t>
  </si>
  <si>
    <t>Satz und Lektorat</t>
  </si>
  <si>
    <t>540.60</t>
  </si>
  <si>
    <t>Sonstige Kosten</t>
  </si>
  <si>
    <t>550.00</t>
  </si>
  <si>
    <t>Veranstaltungen, Maßnahmen und Seminare AStA-Referate</t>
  </si>
  <si>
    <t>550.10</t>
  </si>
  <si>
    <t>536.12, 538.12, 550.12 (je x0,1)</t>
  </si>
  <si>
    <t>Honorare Dozierende Fachseminare</t>
  </si>
  <si>
    <t>550.20</t>
  </si>
  <si>
    <t>536.12, 538.12, 550.12 (je x0,7)</t>
  </si>
  <si>
    <t>Andere Honorare</t>
  </si>
  <si>
    <t>550.30</t>
  </si>
  <si>
    <t>536.12, 538.12, 550.12 (je x0,2)</t>
  </si>
  <si>
    <t>Externe Reisekosten</t>
  </si>
  <si>
    <t>550.40</t>
  </si>
  <si>
    <t>532.10, 532.20, 532.30, 533.30, 536.15, 538.15, 550.14, 539.00</t>
  </si>
  <si>
    <t>Bewirtung und Repräsentation</t>
  </si>
  <si>
    <t>550.50</t>
  </si>
  <si>
    <t>533.10, 536.13, 536.14, 538.13, 538.14, 550.15</t>
  </si>
  <si>
    <t>Raum und Unterkunftskosten</t>
  </si>
  <si>
    <t>550.60</t>
  </si>
  <si>
    <t>Druckkosten</t>
  </si>
  <si>
    <t>550.70</t>
  </si>
  <si>
    <t>533.40, 550.16, 546.00</t>
  </si>
  <si>
    <t>551.00</t>
  </si>
  <si>
    <t>Veranstaltungen, Maßnahmen und Seminare Fachschaften</t>
  </si>
  <si>
    <t>551.10</t>
  </si>
  <si>
    <t>551.11</t>
  </si>
  <si>
    <t>686.33 (x0,7)</t>
  </si>
  <si>
    <t>551.12</t>
  </si>
  <si>
    <t>686.43 (x0,7)</t>
  </si>
  <si>
    <t>551.13</t>
  </si>
  <si>
    <t>686.53 (x0,7)</t>
  </si>
  <si>
    <t>551.14</t>
  </si>
  <si>
    <t>686.63 (x0,7)</t>
  </si>
  <si>
    <t>551.15</t>
  </si>
  <si>
    <t>686.73 (x0,7)</t>
  </si>
  <si>
    <t>551.20</t>
  </si>
  <si>
    <t>551.21</t>
  </si>
  <si>
    <t>686.33 (x0,15)</t>
  </si>
  <si>
    <t>551.22</t>
  </si>
  <si>
    <t>686.43 (x0,15)</t>
  </si>
  <si>
    <t>551.23</t>
  </si>
  <si>
    <t>686.53 (x0,15)</t>
  </si>
  <si>
    <t>551.24</t>
  </si>
  <si>
    <t>686.63 (x0,15)</t>
  </si>
  <si>
    <t>551.25</t>
  </si>
  <si>
    <t>686.73 (x0,15)</t>
  </si>
  <si>
    <t>551.30</t>
  </si>
  <si>
    <t>551.31</t>
  </si>
  <si>
    <t>551.32</t>
  </si>
  <si>
    <t>551.33</t>
  </si>
  <si>
    <t>551.34</t>
  </si>
  <si>
    <t>551.35</t>
  </si>
  <si>
    <t>551.40</t>
  </si>
  <si>
    <t>Bewirtung und Repräsentation extern</t>
  </si>
  <si>
    <t>551.41</t>
  </si>
  <si>
    <t>686.35 (x0,9), 686.37</t>
  </si>
  <si>
    <t>551.42</t>
  </si>
  <si>
    <t>686.47</t>
  </si>
  <si>
    <t>551.43</t>
  </si>
  <si>
    <t>686.57</t>
  </si>
  <si>
    <t>551.44</t>
  </si>
  <si>
    <t>686.67</t>
  </si>
  <si>
    <t>551.45</t>
  </si>
  <si>
    <t>686.77</t>
  </si>
  <si>
    <t>551.50</t>
  </si>
  <si>
    <t>Raum- und Unterkunftskosten extern</t>
  </si>
  <si>
    <t>551.51</t>
  </si>
  <si>
    <t>686.36</t>
  </si>
  <si>
    <t>551.52</t>
  </si>
  <si>
    <t>686.46</t>
  </si>
  <si>
    <t>551.53</t>
  </si>
  <si>
    <t>686.56</t>
  </si>
  <si>
    <t>551.54</t>
  </si>
  <si>
    <t>686.66</t>
  </si>
  <si>
    <t>551.55</t>
  </si>
  <si>
    <t>686.76</t>
  </si>
  <si>
    <t>551.60</t>
  </si>
  <si>
    <t>Druckkosten + Verwalt.kosten Seminare</t>
  </si>
  <si>
    <t>551.61</t>
  </si>
  <si>
    <t>686.38 (x0,1)</t>
  </si>
  <si>
    <t>551.62</t>
  </si>
  <si>
    <t>686.48 (x0,1)</t>
  </si>
  <si>
    <t>551.63</t>
  </si>
  <si>
    <t>686.58 (x0,1)</t>
  </si>
  <si>
    <t>551.64</t>
  </si>
  <si>
    <t>686.68 (x0,1)</t>
  </si>
  <si>
    <t>551.65</t>
  </si>
  <si>
    <t>686.78 (x0,1)</t>
  </si>
  <si>
    <t>551.70</t>
  </si>
  <si>
    <t>Sonstige Kosten (Lizenzen, Allg. Geschäftsbetrieb)</t>
  </si>
  <si>
    <t>551.71</t>
  </si>
  <si>
    <t>686.38 (x0,9)</t>
  </si>
  <si>
    <t>551.72</t>
  </si>
  <si>
    <t>686.48 (x0,9)</t>
  </si>
  <si>
    <t>551.73</t>
  </si>
  <si>
    <t>686.58 (x0,9)</t>
  </si>
  <si>
    <t>551.74</t>
  </si>
  <si>
    <t>686.68 (x0,9)</t>
  </si>
  <si>
    <t>551.75</t>
  </si>
  <si>
    <t>686.78 (x0,9)</t>
  </si>
  <si>
    <t>560.00</t>
  </si>
  <si>
    <t>Leistungen durch Dritte und Kooperationen</t>
  </si>
  <si>
    <t>560.10</t>
  </si>
  <si>
    <t>526.20</t>
  </si>
  <si>
    <t>Lohnbuchführung</t>
  </si>
  <si>
    <t>560.20</t>
  </si>
  <si>
    <t>526.30</t>
  </si>
  <si>
    <t>Beratungen (Supervision Büro z.B.)</t>
  </si>
  <si>
    <t>560.30</t>
  </si>
  <si>
    <t>511.61 (x0,6), 511.63</t>
  </si>
  <si>
    <t>IT-Dienstleistungen</t>
  </si>
  <si>
    <t>560.40</t>
  </si>
  <si>
    <t>Sonstige Leistungen durch Dritte</t>
  </si>
  <si>
    <t>560.50</t>
  </si>
  <si>
    <t>526.10, 550.17</t>
  </si>
  <si>
    <t>Rechtsanwaltskosten AStA/Stupa</t>
  </si>
  <si>
    <t>560.60</t>
  </si>
  <si>
    <t>Prozesskosten und Gebühren AStA/Stupa</t>
  </si>
  <si>
    <t>560.70</t>
  </si>
  <si>
    <t>686.39, 686.49, 686.59, 686.69, 686.79</t>
  </si>
  <si>
    <t>Rechtskosten Fachschaften</t>
  </si>
  <si>
    <t>560.80</t>
  </si>
  <si>
    <t>Rechtsberatung Studierende</t>
  </si>
  <si>
    <t>580.00</t>
  </si>
  <si>
    <t>Wahlen und Studierendenbefragungen</t>
  </si>
  <si>
    <t>580.10</t>
  </si>
  <si>
    <t>535.11</t>
  </si>
  <si>
    <t>AE fest Wahlen</t>
  </si>
  <si>
    <t>580.20</t>
  </si>
  <si>
    <t>535.12</t>
  </si>
  <si>
    <t>AE variabel Wahlen</t>
  </si>
  <si>
    <t>580.30</t>
  </si>
  <si>
    <t>535.21</t>
  </si>
  <si>
    <t>Fahrtkosten und Verpflegungspauschale Wahlen</t>
  </si>
  <si>
    <t>580.40</t>
  </si>
  <si>
    <t>535.22</t>
  </si>
  <si>
    <t>Raum- und Unterkunftskosten Wahlen</t>
  </si>
  <si>
    <t>580.50</t>
  </si>
  <si>
    <t>535.53 (x0,995)</t>
  </si>
  <si>
    <t>Wahltools und Sonstige Kosten</t>
  </si>
  <si>
    <t>580.60</t>
  </si>
  <si>
    <t>535.52</t>
  </si>
  <si>
    <t>Wahlrohr Druck</t>
  </si>
  <si>
    <t>580.70</t>
  </si>
  <si>
    <t>535.51</t>
  </si>
  <si>
    <t>Wahlrohr Versand</t>
  </si>
  <si>
    <t>580.80</t>
  </si>
  <si>
    <t>535.54</t>
  </si>
  <si>
    <t>Wahlunterlagen Druck</t>
  </si>
  <si>
    <t>580.90</t>
  </si>
  <si>
    <t>535.53 (x0,005)</t>
  </si>
  <si>
    <t>Wahlunterlagen Versand</t>
  </si>
  <si>
    <t>Plan 6</t>
  </si>
  <si>
    <t>Zuschüsse, Mitgliedschaften, BHS</t>
  </si>
  <si>
    <t>681.00</t>
  </si>
  <si>
    <t>Zuschüsse</t>
  </si>
  <si>
    <t>681.10</t>
  </si>
  <si>
    <t>Zuschüsse für studentische Aktivitäten (neu!)</t>
  </si>
  <si>
    <t>681.20</t>
  </si>
  <si>
    <t>Besondere Fachschaftsaktivitäten (neu!)</t>
  </si>
  <si>
    <t>681.30</t>
  </si>
  <si>
    <t>686.81</t>
  </si>
  <si>
    <t>Honorare Lerngruppen</t>
  </si>
  <si>
    <t>681.40</t>
  </si>
  <si>
    <t>686.82</t>
  </si>
  <si>
    <t>Honorare Veranstaltungen Campus</t>
  </si>
  <si>
    <t>681.50</t>
  </si>
  <si>
    <t>686.83</t>
  </si>
  <si>
    <t>Bewirtung und Repräsentation Campus</t>
  </si>
  <si>
    <t>681.60</t>
  </si>
  <si>
    <t>686.13</t>
  </si>
  <si>
    <t>Allg. Betrieb Interessengruppen</t>
  </si>
  <si>
    <t>681.70</t>
  </si>
  <si>
    <t>686.16</t>
  </si>
  <si>
    <t>Rechtsangelegenheiten Interessengruppen</t>
  </si>
  <si>
    <t>681.80</t>
  </si>
  <si>
    <t>686.84, 686.23, 686.26</t>
  </si>
  <si>
    <t>685 00</t>
  </si>
  <si>
    <t>Vereins- und Verbandsmitgliedschaften</t>
  </si>
  <si>
    <t>685.10</t>
  </si>
  <si>
    <t>686.17</t>
  </si>
  <si>
    <t>LAT NRW</t>
  </si>
  <si>
    <t>685.20</t>
  </si>
  <si>
    <t>686.18</t>
  </si>
  <si>
    <t>DJH, DAAD</t>
  </si>
  <si>
    <t>690.00</t>
  </si>
  <si>
    <t>BHS-GmbH</t>
  </si>
  <si>
    <t>690.00 (x0,685)</t>
  </si>
  <si>
    <t>Ausgleich negativer Cashflow</t>
  </si>
  <si>
    <t>690.00 (x0,315)</t>
  </si>
  <si>
    <t>Maßnahmen BHS</t>
  </si>
  <si>
    <t>Plan 8</t>
  </si>
  <si>
    <t>Darlehen</t>
  </si>
  <si>
    <t>860.00</t>
  </si>
  <si>
    <t>Studierende</t>
  </si>
  <si>
    <t>860.10</t>
  </si>
  <si>
    <t>Allgemeine Darlehen 69 69 01</t>
  </si>
  <si>
    <t>860.20</t>
  </si>
  <si>
    <t>861.00</t>
  </si>
  <si>
    <t>Internationalisierungsdarlehen</t>
  </si>
  <si>
    <t>Plan 9</t>
  </si>
  <si>
    <t>Rücklagen</t>
  </si>
  <si>
    <t>919 00</t>
  </si>
  <si>
    <t>Zuführung zu Rücklagen</t>
  </si>
  <si>
    <t>919.10</t>
  </si>
  <si>
    <t>910.00</t>
  </si>
  <si>
    <t>Allgemeine Rücklage 20 90 30</t>
  </si>
  <si>
    <t>919.20</t>
  </si>
  <si>
    <t>920.00</t>
  </si>
  <si>
    <t>Sonderrücklage Wahlen 20 90 20</t>
  </si>
  <si>
    <t>919.30</t>
  </si>
  <si>
    <t>940.00</t>
  </si>
  <si>
    <t>Sonderrücklage Steuer 20 90 50</t>
  </si>
  <si>
    <t>Ausgaben Gesamt</t>
  </si>
  <si>
    <t>Bilanz</t>
  </si>
  <si>
    <t>Geldvermögen</t>
  </si>
  <si>
    <t>SOLL 30. Sept. 2022</t>
  </si>
  <si>
    <t>Stand 30. Sep. 2022</t>
  </si>
  <si>
    <t>Giroguthaben Commerzbank</t>
  </si>
  <si>
    <t>Barkasse</t>
  </si>
  <si>
    <t>Noch nicht abgerechnete Vorschüsse</t>
  </si>
  <si>
    <t>SUMME Geldvermögen</t>
  </si>
  <si>
    <t>Aufteilung Geldvermögen</t>
  </si>
  <si>
    <t>Kassenbestand (Einnahmen - Ausgaben)</t>
  </si>
  <si>
    <t>Allgemeine Rücklagen 2090 30</t>
  </si>
  <si>
    <t>Rücklage AStA Innovative Projekte (Auflösung 213000 auf Allg.RL)</t>
  </si>
  <si>
    <t>Sonstige Rücklagen Wahlen 2090 20</t>
  </si>
  <si>
    <t>Sonstige Rücklagen Steuer 2090 50</t>
  </si>
  <si>
    <t>SUMME Aufteilung Geldvermögen</t>
  </si>
  <si>
    <t>SV BKK firmus</t>
  </si>
  <si>
    <t>Verfügbare Mittel</t>
  </si>
  <si>
    <t>./. Betriebsmittelrücklage (§ 12 Abs. 2 HWVO)
 -  5 % Studierendenschaftsbeiträge</t>
  </si>
  <si>
    <t>= freie Mittel</t>
  </si>
  <si>
    <t>./. Rücklage für Wahlen
(Ansatz: 18 % Studierendenschaftsbeiträge)
abzgl. Rücklage Wahlen</t>
  </si>
  <si>
    <t>= ungebundene Mittel</t>
  </si>
  <si>
    <t xml:space="preserve">Entnahme aus der 919.30 Sonderrücklage Steuern </t>
  </si>
  <si>
    <t>Stand 01.11.2025 = 100.000,00 EUR</t>
  </si>
  <si>
    <t>Buchungsdatum</t>
  </si>
  <si>
    <t>BelegNr.</t>
  </si>
  <si>
    <t>Betrag</t>
  </si>
  <si>
    <t>Zweck</t>
  </si>
  <si>
    <t>Angewiesen durch</t>
  </si>
  <si>
    <t>Saldo Sonderrücklage 
Steuern nach Entnahme</t>
  </si>
  <si>
    <t>Verstärkungsmittel an die BHS</t>
  </si>
  <si>
    <t>AStA Beschluss UB 002/2025</t>
  </si>
  <si>
    <t>AStA Beschluss UB 003/2025</t>
  </si>
  <si>
    <t>Verstärkungsmittel Darlehen an die BHS</t>
  </si>
  <si>
    <t>AStA Beschluss UB 001/2026</t>
  </si>
  <si>
    <t>379000 Lohn- und Gehaltsverrechnungen</t>
  </si>
  <si>
    <t xml:space="preserve">Korrektur der SV-Beiträge der Bundesknappschaft. Diese wurden aus den SV-Beiträgen der AN rausgerechnet </t>
  </si>
  <si>
    <t>und dem Titel 603600 addiert.</t>
  </si>
  <si>
    <t>Datum</t>
  </si>
  <si>
    <t>Gegenkonto</t>
  </si>
  <si>
    <t>Buchungstext</t>
  </si>
  <si>
    <t>Belegfeld1</t>
  </si>
  <si>
    <t>Umsatz Soll</t>
  </si>
  <si>
    <t>Umsatz Haben</t>
  </si>
  <si>
    <t>Stapel-Nr.</t>
  </si>
  <si>
    <t>BSNr.</t>
  </si>
  <si>
    <t>KOST1</t>
  </si>
  <si>
    <t>Pauschale Steuer für Minijobber</t>
  </si>
  <si>
    <t>10-2025/0003</t>
  </si>
  <si>
    <t>Verb. Bundesknappschaft/Minijobzentrale</t>
  </si>
  <si>
    <t>11-2025/0002</t>
  </si>
  <si>
    <t>11-2025/0003</t>
  </si>
  <si>
    <t>12-2025/0002</t>
  </si>
  <si>
    <t>12-2025/0003</t>
  </si>
  <si>
    <t>01-20263/0002</t>
  </si>
  <si>
    <t>01-2026/0002</t>
  </si>
  <si>
    <t>02-2026/0002</t>
  </si>
  <si>
    <t>03-2026/0002</t>
  </si>
  <si>
    <t>04-2026/0002</t>
  </si>
  <si>
    <t>05-2026/0002</t>
  </si>
  <si>
    <t>05-2026/0001</t>
  </si>
  <si>
    <t>06-2026/0002</t>
  </si>
  <si>
    <t>04-2026/0001</t>
  </si>
  <si>
    <t>HHJ</t>
  </si>
  <si>
    <t>Nachtrag HHJ</t>
  </si>
  <si>
    <t>2021 / 2022</t>
  </si>
  <si>
    <t>2022/2023</t>
  </si>
  <si>
    <t>2022 / 2023</t>
  </si>
  <si>
    <t>2023 / 2024</t>
  </si>
  <si>
    <t>2024 / 2025</t>
  </si>
  <si>
    <t>Soll</t>
  </si>
  <si>
    <t>IST</t>
  </si>
  <si>
    <t>SOLL</t>
  </si>
  <si>
    <t>Stand</t>
  </si>
  <si>
    <t>Titelbezeichnung</t>
  </si>
  <si>
    <t>SP-Beschluss 04.09.21</t>
  </si>
  <si>
    <t xml:space="preserve">SP-Beschluss </t>
  </si>
  <si>
    <t>SP-Beschluss
17.12.22</t>
  </si>
  <si>
    <t>SP-Beschluss 11.11.2023</t>
  </si>
  <si>
    <t>SP-Beschluss 07.09.2024</t>
  </si>
  <si>
    <t>Nachtrag</t>
  </si>
  <si>
    <t>Einnahmen</t>
  </si>
  <si>
    <t>119.2</t>
  </si>
  <si>
    <t>NEU ab 22/23</t>
  </si>
  <si>
    <t>119.21</t>
  </si>
  <si>
    <t>Spende</t>
  </si>
  <si>
    <t>119.40+140.30</t>
  </si>
  <si>
    <t>sonst. Einnahmen</t>
  </si>
  <si>
    <t>125.10</t>
  </si>
  <si>
    <t>Einnahmen aus kommerz. Anzeigen</t>
  </si>
  <si>
    <t>125.20</t>
  </si>
  <si>
    <t>Einnahmen aus kommerz.Anz.Web+and.</t>
  </si>
  <si>
    <t>129.0</t>
  </si>
  <si>
    <t xml:space="preserve">Einnahmen aus Veranstaltungen </t>
  </si>
  <si>
    <t>210.10+220.10</t>
  </si>
  <si>
    <t>Einnahmen aus Veranst. FSR  WiWi</t>
  </si>
  <si>
    <t>210.20+220.20</t>
  </si>
  <si>
    <t>Einnahmen aus Veranst. FSR KSW</t>
  </si>
  <si>
    <t>210.50+220.50</t>
  </si>
  <si>
    <t>Einnahmen aus Veranst. FSR M+I</t>
  </si>
  <si>
    <t>210.40+220.40</t>
  </si>
  <si>
    <t>Einnahmen aus Veranst.  FSR ReWi</t>
  </si>
  <si>
    <t>129.50</t>
  </si>
  <si>
    <t>Einnahmen aus Veranst.Interessengruppen</t>
  </si>
  <si>
    <t>210.30+220.30</t>
  </si>
  <si>
    <t>Einnahmen aus Veranst.  FSR Pych</t>
  </si>
  <si>
    <t>129.70</t>
  </si>
  <si>
    <t>129.10+129.20</t>
  </si>
  <si>
    <t>Einnahmen aus sonst.AStA-Veranst.</t>
  </si>
  <si>
    <t>129.80</t>
  </si>
  <si>
    <t>140.40+129.70+129.80+129.90</t>
  </si>
  <si>
    <t>Einnahmen aus Veranst.Inklusion+Gleichst.</t>
  </si>
  <si>
    <t>129.90</t>
  </si>
  <si>
    <t>140.20+129.70+129.80+.129.90</t>
  </si>
  <si>
    <t>Einnahmen aus Veranst. Hopo</t>
  </si>
  <si>
    <t>Zinsen privatrechtll.Unternehmen</t>
  </si>
  <si>
    <t>182.10+182.20</t>
  </si>
  <si>
    <t>Darlehensrückflüsse Studierende</t>
  </si>
  <si>
    <t>SUMME PLAN 1</t>
  </si>
  <si>
    <t>341.00</t>
  </si>
  <si>
    <t>111.10+111.20</t>
  </si>
  <si>
    <t>Entnahme aus der Allg. Rücklage</t>
  </si>
  <si>
    <t>Entnahme aus der Sonderrücklage</t>
  </si>
  <si>
    <t>Überschuss des Vorjahres</t>
  </si>
  <si>
    <t>SUMME PLAN 3</t>
  </si>
  <si>
    <t>SUMME Einnahmen</t>
  </si>
  <si>
    <t xml:space="preserve">Sachkostenpauschale AStA  </t>
  </si>
  <si>
    <t>412.10+412.20</t>
  </si>
  <si>
    <t xml:space="preserve">Aufwandsentsch. SP </t>
  </si>
  <si>
    <t>AE Mitglieder FernUni - Gremien</t>
  </si>
  <si>
    <t>412.50+412.40</t>
  </si>
  <si>
    <t>Aufwandsentsch. AStA-Gäste</t>
  </si>
  <si>
    <t>Aufwandsentsch. SP - Ausschüsse</t>
  </si>
  <si>
    <t>412.60</t>
  </si>
  <si>
    <t>Aufwandsentsch. AStA-PG</t>
  </si>
  <si>
    <t>425.0</t>
  </si>
  <si>
    <t>Personalkosten + AStA-Referate</t>
  </si>
  <si>
    <t>425.1</t>
  </si>
  <si>
    <t>Bezüge AStA-Referate</t>
  </si>
  <si>
    <t>Vergütung AStA-Referate</t>
  </si>
  <si>
    <t>Beiträge Bundesknappschaft</t>
  </si>
  <si>
    <t>425.13</t>
  </si>
  <si>
    <t>sonst. Erstatt. AStA Referate</t>
  </si>
  <si>
    <t>425.2</t>
  </si>
  <si>
    <t>Personalkosten Büro</t>
  </si>
  <si>
    <t>425.21</t>
  </si>
  <si>
    <t>425.10+427.10</t>
  </si>
  <si>
    <t>Gehälter Büro netto</t>
  </si>
  <si>
    <t>Lohnsteuer/Steuerabzüge Personal</t>
  </si>
  <si>
    <t>425.23</t>
  </si>
  <si>
    <t>Sozialversicherung</t>
  </si>
  <si>
    <t>Zusatzversorgung VBL</t>
  </si>
  <si>
    <t>425.25</t>
  </si>
  <si>
    <t>sonst. Erstatt. Personal</t>
  </si>
  <si>
    <t>427.0</t>
  </si>
  <si>
    <t>Geringfügig Beschäftigte</t>
  </si>
  <si>
    <t>427.10</t>
  </si>
  <si>
    <t>Gehalt geringf.Beschäftigte</t>
  </si>
  <si>
    <t>427.20</t>
  </si>
  <si>
    <t>Bundesknappschaft</t>
  </si>
  <si>
    <t>Verfügungsmittel Personalrat</t>
  </si>
  <si>
    <t>SUMME PLAN 4</t>
  </si>
  <si>
    <t>511.0</t>
  </si>
  <si>
    <t>Allgem. Geschäftsbedarf</t>
  </si>
  <si>
    <t>Bürobedarf</t>
  </si>
  <si>
    <t>Kontoführung</t>
  </si>
  <si>
    <t>511.12</t>
  </si>
  <si>
    <t>GEZ</t>
  </si>
  <si>
    <t>511.13</t>
  </si>
  <si>
    <t>Publikationen</t>
  </si>
  <si>
    <t>511.14</t>
  </si>
  <si>
    <t>sonst. Geschäftsbedarf</t>
  </si>
  <si>
    <t>511.15</t>
  </si>
  <si>
    <t>Verbrauchsmat.Kopierer+Drucker</t>
  </si>
  <si>
    <t>511.16</t>
  </si>
  <si>
    <t>Bücher, Zeitschriften</t>
  </si>
  <si>
    <t>Briefporto</t>
  </si>
  <si>
    <t>511.4</t>
  </si>
  <si>
    <t>Geschäftsbedarf IT/Telefon</t>
  </si>
  <si>
    <t>511.41</t>
  </si>
  <si>
    <t>Telefongebühren</t>
  </si>
  <si>
    <t>511.42</t>
  </si>
  <si>
    <t>Internet</t>
  </si>
  <si>
    <t>511.43</t>
  </si>
  <si>
    <t>Hosting</t>
  </si>
  <si>
    <t>Sonstiges</t>
  </si>
  <si>
    <t>511.5</t>
  </si>
  <si>
    <t>Geräte,Ausstattung,Ausrüstung</t>
  </si>
  <si>
    <t>IT</t>
  </si>
  <si>
    <t>511.52</t>
  </si>
  <si>
    <t>Büroausstattung/Büromöbel</t>
  </si>
  <si>
    <t>511.53</t>
  </si>
  <si>
    <t>sonstige Ausstattung</t>
  </si>
  <si>
    <t>511.6</t>
  </si>
  <si>
    <t>EDV-Arbeiten / externe Dienstleist.</t>
  </si>
  <si>
    <t>511.61</t>
  </si>
  <si>
    <t>511.90+560.30</t>
  </si>
  <si>
    <r>
      <t xml:space="preserve">IT + </t>
    </r>
    <r>
      <rPr>
        <b/>
        <sz val="11"/>
        <color rgb="FFFF0000"/>
        <rFont val="Calibri"/>
        <family val="2"/>
        <scheme val="minor"/>
      </rPr>
      <t>IT-Miete</t>
    </r>
  </si>
  <si>
    <t>Kleinreparaturen u.Instandhalt.</t>
  </si>
  <si>
    <t>511.63</t>
  </si>
  <si>
    <t>560.30+560.40</t>
  </si>
  <si>
    <t>sonst. Dienstleistungen</t>
  </si>
  <si>
    <t>517.2</t>
  </si>
  <si>
    <t>Ausgaben für Versicherung</t>
  </si>
  <si>
    <t>517.21</t>
  </si>
  <si>
    <t>Allianz Vers. Betriebshaftpflicht</t>
  </si>
  <si>
    <t>517.22</t>
  </si>
  <si>
    <t>sonst. Versicherungen</t>
  </si>
  <si>
    <t>525.0</t>
  </si>
  <si>
    <t>Qualifizierungsmaßnahmen</t>
  </si>
  <si>
    <t>Qualifizierung Büro</t>
  </si>
  <si>
    <t>Qualifizierung Stupa, Ausschüsse</t>
  </si>
  <si>
    <t>Qualifizierung AStA</t>
  </si>
  <si>
    <t>526.0</t>
  </si>
  <si>
    <t>Rechtsstreitigkeiten+ext.Beratungen</t>
  </si>
  <si>
    <t>526.10</t>
  </si>
  <si>
    <t>560.50+560.80+560.60+560.40</t>
  </si>
  <si>
    <t>Rechtsanwalts-,Verfahrens- u.Gerichtskosten</t>
  </si>
  <si>
    <t>Steuerberatung u.Lohnbuchführung</t>
  </si>
  <si>
    <t>sonst. Beratungen</t>
  </si>
  <si>
    <t>527.0</t>
  </si>
  <si>
    <t>Reisekosten</t>
  </si>
  <si>
    <t>527.1</t>
  </si>
  <si>
    <t>Reisekosten AStA-Büro</t>
  </si>
  <si>
    <t>527.11</t>
  </si>
  <si>
    <t>Fahrtkosten+Verpf. AStA-Büro</t>
  </si>
  <si>
    <t>527.12</t>
  </si>
  <si>
    <t>Raumkosten+sonst. Kosten AStA-Büro</t>
  </si>
  <si>
    <t>527.13</t>
  </si>
  <si>
    <t>Unterkunftskosten AStA-Büro</t>
  </si>
  <si>
    <t>527.2</t>
  </si>
  <si>
    <t>Reisekosten SP+Ausschüsse+Sonstige</t>
  </si>
  <si>
    <t>527.21</t>
  </si>
  <si>
    <t>Fahrtkost.+Verpfl. SP</t>
  </si>
  <si>
    <t>527.22</t>
  </si>
  <si>
    <t>Raumkosten + sonst. Kosten SP</t>
  </si>
  <si>
    <t>527.23</t>
  </si>
  <si>
    <t>Unterkunftskosten SP</t>
  </si>
  <si>
    <t>527.24</t>
  </si>
  <si>
    <t>Fahrtk.+Verpfl. SP Ausschüsse</t>
  </si>
  <si>
    <t>527.25</t>
  </si>
  <si>
    <t>Raumkosten+Sonst.Kosten SP Ausschüsse</t>
  </si>
  <si>
    <t>527.26</t>
  </si>
  <si>
    <t>Unterkunftskosten SP Ausschüsse</t>
  </si>
  <si>
    <t>527.27</t>
  </si>
  <si>
    <t>FK+Verpfl. SP AT + Sonstige</t>
  </si>
  <si>
    <t>527.28</t>
  </si>
  <si>
    <t>Raumkosten+sonst.Kosten SP AT + Sonstige</t>
  </si>
  <si>
    <t>527.29</t>
  </si>
  <si>
    <t>Unterkunftskosten SP AT + Sonstige</t>
  </si>
  <si>
    <t>527.3</t>
  </si>
  <si>
    <t>Reiskosten AStA</t>
  </si>
  <si>
    <t>527.31</t>
  </si>
  <si>
    <t>Fahrtk.+Verpfl. AStA</t>
  </si>
  <si>
    <t>527.32</t>
  </si>
  <si>
    <t>Raumkosten AStA</t>
  </si>
  <si>
    <t>527.33</t>
  </si>
  <si>
    <t>Unterkunftskosten AStA Referate</t>
  </si>
  <si>
    <t>527.5</t>
  </si>
  <si>
    <t>Reisekosten AStA-Gäste + PG + Sonstige</t>
  </si>
  <si>
    <t>527.51</t>
  </si>
  <si>
    <t>Fahrtk.+Verpfl. AStA-Gäste</t>
  </si>
  <si>
    <t>527.52</t>
  </si>
  <si>
    <t>Raum- u. sonst.Kosten AStA-Gäste</t>
  </si>
  <si>
    <t>527.53</t>
  </si>
  <si>
    <t>Unterkunftskosten AStA-Gäste</t>
  </si>
  <si>
    <t>527.54</t>
  </si>
  <si>
    <t>Fahrtk.+Verpfl. AStA PG</t>
  </si>
  <si>
    <t>527.55</t>
  </si>
  <si>
    <t>Raum-+sonst.Kosten AStA PG</t>
  </si>
  <si>
    <t>527.56</t>
  </si>
  <si>
    <t>Unterkunftskosten ASTA PG</t>
  </si>
  <si>
    <t>527.6</t>
  </si>
  <si>
    <t>Reisekosten Unigremien + Sonstige</t>
  </si>
  <si>
    <t>527.61</t>
  </si>
  <si>
    <t>527.10+529.10</t>
  </si>
  <si>
    <t>RK Funktion Unigremium</t>
  </si>
  <si>
    <t>527.62</t>
  </si>
  <si>
    <t>RK Sonstige</t>
  </si>
  <si>
    <t>529.0</t>
  </si>
  <si>
    <t>Bewirtungskosten</t>
  </si>
  <si>
    <t>Bewirtung AStA</t>
  </si>
  <si>
    <t>Bewirtung SP</t>
  </si>
  <si>
    <t>Bewirtung Sonstige</t>
  </si>
  <si>
    <t>SprachRohr, and. Publikationen</t>
  </si>
  <si>
    <t>Druckkosten SprRohr</t>
  </si>
  <si>
    <t>Versandkosten SprRohr</t>
  </si>
  <si>
    <t>Satzkosten  und Lektorart SprRohr</t>
  </si>
  <si>
    <t>sonst. Kosten SprRohr</t>
  </si>
  <si>
    <t>532.0</t>
  </si>
  <si>
    <t>Ö-Arbeit, Web</t>
  </si>
  <si>
    <t>532.10</t>
  </si>
  <si>
    <t>Materialien Öffentlichkeitsarbeit</t>
  </si>
  <si>
    <t>532.20</t>
  </si>
  <si>
    <t>532.30</t>
  </si>
  <si>
    <t>Webseite</t>
  </si>
  <si>
    <t>533.0</t>
  </si>
  <si>
    <t>Auslandsbeziehungen</t>
  </si>
  <si>
    <t>533.10</t>
  </si>
  <si>
    <t>Hotelkosten Ausland</t>
  </si>
  <si>
    <t>533.20</t>
  </si>
  <si>
    <t>Reisekosten Ausland</t>
  </si>
  <si>
    <t>533.30</t>
  </si>
  <si>
    <t>Teilnahmebeiträge Ausland</t>
  </si>
  <si>
    <t>533.40</t>
  </si>
  <si>
    <t>550.70+550.60</t>
  </si>
  <si>
    <t>sonst. Kosten Ausland</t>
  </si>
  <si>
    <t>534.00</t>
  </si>
  <si>
    <t>Ausgaben für Fotokopierservice -alt-</t>
  </si>
  <si>
    <t>535.0</t>
  </si>
  <si>
    <t>Auslagen für Wahlen</t>
  </si>
  <si>
    <t>535.1</t>
  </si>
  <si>
    <t>Aufwandsentschäd. für Wahlen</t>
  </si>
  <si>
    <t>535.2</t>
  </si>
  <si>
    <t>Reisekosten Wahlen</t>
  </si>
  <si>
    <t>Fahrtk. + Verpfl. Wahlen</t>
  </si>
  <si>
    <t>Raum- u. sonst. Kosten Wahlen</t>
  </si>
  <si>
    <t>535.23</t>
  </si>
  <si>
    <t>Unterkunftskosten Wahlen</t>
  </si>
  <si>
    <t>535.5</t>
  </si>
  <si>
    <t>WahlRohr + Wahlunterlagen</t>
  </si>
  <si>
    <t>WahlRohr Versand</t>
  </si>
  <si>
    <t>WahlRohr Druck</t>
  </si>
  <si>
    <t>535.53</t>
  </si>
  <si>
    <t>580.50+580.90</t>
  </si>
  <si>
    <t>536.0</t>
  </si>
  <si>
    <t xml:space="preserve">Durchführung von AStA Veranst. </t>
  </si>
  <si>
    <t>536.10</t>
  </si>
  <si>
    <t>412.50+527.30+412.40</t>
  </si>
  <si>
    <t xml:space="preserve">Aufwandsentsch. AStA Veranst. </t>
  </si>
  <si>
    <t>536.11</t>
  </si>
  <si>
    <t>Fahrtk. + Verpfl. AStA Veranst.</t>
  </si>
  <si>
    <t>536.12</t>
  </si>
  <si>
    <t>550.10+550.20+550.30</t>
  </si>
  <si>
    <t>Honorare  AStA Veranst. + RK Dozenten</t>
  </si>
  <si>
    <t>536.13</t>
  </si>
  <si>
    <t>Raum- u. sonst. Kosten AStA Veranst.</t>
  </si>
  <si>
    <t>536.14</t>
  </si>
  <si>
    <t>Unterkunftskosten AStA Veranst.</t>
  </si>
  <si>
    <t>536.15</t>
  </si>
  <si>
    <t>Bewirtungskosten AStA Veranst.</t>
  </si>
  <si>
    <t>---</t>
  </si>
  <si>
    <t>Zuschuss Bildungsherberge gGmbH</t>
  </si>
  <si>
    <t>538.0</t>
  </si>
  <si>
    <t>Veranstaltungen Hopo</t>
  </si>
  <si>
    <t>538.10</t>
  </si>
  <si>
    <t>Aufwandsentsch. Hopo</t>
  </si>
  <si>
    <t>538.11</t>
  </si>
  <si>
    <t>Fahrtk. + Verpfl. Hopo</t>
  </si>
  <si>
    <t>538.12</t>
  </si>
  <si>
    <t>Honorare Hopo</t>
  </si>
  <si>
    <t>538.13</t>
  </si>
  <si>
    <t>Raumkosten + sonst. Kosten Hopo</t>
  </si>
  <si>
    <t>538.14</t>
  </si>
  <si>
    <t>Unterkunftskosten Hopo</t>
  </si>
  <si>
    <t>538.15</t>
  </si>
  <si>
    <t>Bewirtungskosten Hopo</t>
  </si>
  <si>
    <t>539.00</t>
  </si>
  <si>
    <t>Hochschulsport</t>
  </si>
  <si>
    <t>Verfügungsmittel Personalrat -alt-</t>
  </si>
  <si>
    <t>546.00</t>
  </si>
  <si>
    <t>vermischte Ausgaben</t>
  </si>
  <si>
    <t>550.0</t>
  </si>
  <si>
    <t>Inklusion u. Gleichstellung</t>
  </si>
  <si>
    <t>AE Inkl. u. Gleichstellung</t>
  </si>
  <si>
    <t>550.11</t>
  </si>
  <si>
    <t>Fahrtk.+Verpfl. Inkl.u.Gleichst.</t>
  </si>
  <si>
    <t>550.12</t>
  </si>
  <si>
    <t>Honorare u. RK Doz.+Teiln. Inkl.+Gleichst.</t>
  </si>
  <si>
    <t>550.13</t>
  </si>
  <si>
    <t>Raum-u.Unterk.Sitzungen+Veranst. I+G</t>
  </si>
  <si>
    <t>550.14</t>
  </si>
  <si>
    <t>Bewirtungskosten Sitz./Sem./Veranst. I+G</t>
  </si>
  <si>
    <t>550.15</t>
  </si>
  <si>
    <t>Raumk. Sem. u.Unterk. Doz.+Teiln. I+G</t>
  </si>
  <si>
    <t>550.16</t>
  </si>
  <si>
    <t>sonstige Kosten + Anschaffungen I+G</t>
  </si>
  <si>
    <t>550.17</t>
  </si>
  <si>
    <t>Rechtsangelegenheiten I+G</t>
  </si>
  <si>
    <t>Anschaffungen</t>
  </si>
  <si>
    <t>Ladestation E-Auto</t>
  </si>
  <si>
    <t>Videokonferenzraum</t>
  </si>
  <si>
    <t>SUMME PLAN 5</t>
  </si>
  <si>
    <t>686.0</t>
  </si>
  <si>
    <t>Zuweisung an Dritte u. FS, FSR-Konferenz</t>
  </si>
  <si>
    <t>686.1</t>
  </si>
  <si>
    <t>Unterstützung v. Interessengruppen</t>
  </si>
  <si>
    <t>686.11</t>
  </si>
  <si>
    <t>AE Unterstützung v. Interessengruppen</t>
  </si>
  <si>
    <t>686.12</t>
  </si>
  <si>
    <t>Fahrtk. + Verpfl. Unterst.IG</t>
  </si>
  <si>
    <t>Zuwendungen f. Allg.betrieb Unterst.IG</t>
  </si>
  <si>
    <t>686.14</t>
  </si>
  <si>
    <t>Raum- u. Unterkunftskosten Unterst. IG</t>
  </si>
  <si>
    <t>686.15</t>
  </si>
  <si>
    <t>Bewirtung Unterst. IG</t>
  </si>
  <si>
    <t>Zuwend. Rechtsangelegenh. Unterst. IG</t>
  </si>
  <si>
    <t>Mitgliedsbeiträge LAT</t>
  </si>
  <si>
    <t>Mitgliedsbeiträge DJHW</t>
  </si>
  <si>
    <t>686.2</t>
  </si>
  <si>
    <t>Zuweisung an FSR-Konferenzen</t>
  </si>
  <si>
    <t>Aufwandsentschädigungen FSR-K.</t>
  </si>
  <si>
    <t>Fahrtk.+Verpfl. FSR-Konferenz</t>
  </si>
  <si>
    <t>686.23</t>
  </si>
  <si>
    <t>Honorare FSR-Konf.+RK Dozenten</t>
  </si>
  <si>
    <t>Raum- u. Unterkunftskosten FSR-Konf.</t>
  </si>
  <si>
    <t>Bewirtung FSR-Konf.</t>
  </si>
  <si>
    <t>686.26</t>
  </si>
  <si>
    <t>sonstige Kosten FSR-Konf.</t>
  </si>
  <si>
    <t>686.3</t>
  </si>
  <si>
    <t>Zuweisung an Fachschaft WiWi</t>
  </si>
  <si>
    <t>686.31</t>
  </si>
  <si>
    <t>413.21+413.10</t>
  </si>
  <si>
    <t>AE FS WiWi</t>
  </si>
  <si>
    <t>Fahrtk.+Verpfl. FS WiWi</t>
  </si>
  <si>
    <t>686.33</t>
  </si>
  <si>
    <t>551.11+551.21+551.31</t>
  </si>
  <si>
    <t>Honorare und RK Doz. FS WiWi</t>
  </si>
  <si>
    <t>Raum- u. Unterk.f. Sitz.+Veranst.FS WiWi</t>
  </si>
  <si>
    <t>686.35</t>
  </si>
  <si>
    <t>531.41+551.41</t>
  </si>
  <si>
    <t>Bewirtungsk.f. Sitz./Veranst. FS WiWi</t>
  </si>
  <si>
    <t>Raumk. Sem. + Unterk. Doz.+Teiln. FS WiWi</t>
  </si>
  <si>
    <t>686.37</t>
  </si>
  <si>
    <t>Bewirtungsk. Seminare FS WiWi</t>
  </si>
  <si>
    <t>686.38</t>
  </si>
  <si>
    <t>551.61+551.71</t>
  </si>
  <si>
    <t>Sonst. Kosten +  Anschaff. FS WiWi</t>
  </si>
  <si>
    <t>686.39</t>
  </si>
  <si>
    <t>Rechtsangelegenheiten FS WiWi</t>
  </si>
  <si>
    <t>686.4</t>
  </si>
  <si>
    <t>Zuweisung an Fachschaft KSW</t>
  </si>
  <si>
    <t>686.41</t>
  </si>
  <si>
    <t>413.22+413.10</t>
  </si>
  <si>
    <t>AE FS KSW</t>
  </si>
  <si>
    <t>Fahrtk.+Verpfl. FS KSW</t>
  </si>
  <si>
    <t>686.43</t>
  </si>
  <si>
    <t>551.12+551.22+551.32</t>
  </si>
  <si>
    <t>Honorare und RK Doz. FS KSW</t>
  </si>
  <si>
    <t>Raum- u. Unterk.f. Sitz.+Veranst.FS KSW</t>
  </si>
  <si>
    <t>Bewirtungsk.f. Sitz./Veranst. FS KSW</t>
  </si>
  <si>
    <t>Raumk. Sem. + Unterk. Doz.+Teiln. FS KSW</t>
  </si>
  <si>
    <t>Bewirtungsk. Seminare FS KSW</t>
  </si>
  <si>
    <t>686.48</t>
  </si>
  <si>
    <t>551.62+551.72</t>
  </si>
  <si>
    <t>Sonst. Kosten +  Anschaff. FS KSW</t>
  </si>
  <si>
    <t>686.49</t>
  </si>
  <si>
    <t>Rechtsangelegenheiten FS KSW</t>
  </si>
  <si>
    <t>686.5</t>
  </si>
  <si>
    <t>Zuweisung FS-Psychologie</t>
  </si>
  <si>
    <t>686.51</t>
  </si>
  <si>
    <t>413.23+413.10</t>
  </si>
  <si>
    <t>AE FS Psych</t>
  </si>
  <si>
    <t>Fahrtk.+Verpfl. FS Psych</t>
  </si>
  <si>
    <t>686.53</t>
  </si>
  <si>
    <t>551.13+551.23+551.33</t>
  </si>
  <si>
    <t>Honorare und RK Doz. FS Psych</t>
  </si>
  <si>
    <t>Raum- u. Unterk.f. Sitz.+Veranst.FS Psych</t>
  </si>
  <si>
    <t>Bewirtungsk.f. Sitz./Veranst. FS Psych</t>
  </si>
  <si>
    <t>Raumk. Sem. + Unterk. Doz.+Teiln. FS Psych</t>
  </si>
  <si>
    <t>Bewirtungsk. Seminare FS Psych</t>
  </si>
  <si>
    <t>686.58</t>
  </si>
  <si>
    <t>551.63+551.73</t>
  </si>
  <si>
    <t>Sonst. Kosten +  Anschaff. FS Psych</t>
  </si>
  <si>
    <t>686.59</t>
  </si>
  <si>
    <t>Rechtsangelegenheiten FS Psych</t>
  </si>
  <si>
    <t>686.6</t>
  </si>
  <si>
    <t>Zuweisung Fachschaft ReWi</t>
  </si>
  <si>
    <t>686.61</t>
  </si>
  <si>
    <t>413.24+413.10</t>
  </si>
  <si>
    <t>AE FS ReWi</t>
  </si>
  <si>
    <t>Fahrtk.+Verpfl. FS ReWi</t>
  </si>
  <si>
    <t>686.63</t>
  </si>
  <si>
    <t>551.14+551.24+551.34</t>
  </si>
  <si>
    <t>Honorare und RK Doz. FS ReWi</t>
  </si>
  <si>
    <t>Raum- u. Unterk.f. Sitz.+Veranst.FS ReWi</t>
  </si>
  <si>
    <t>Bewirtungsk.f. Sitz./Veranst. FS ReWi</t>
  </si>
  <si>
    <t>Raumk. Sem. + Unterk. Doz.+Teiln. FS ReWi</t>
  </si>
  <si>
    <t>Bewirtungsk. Seminare FS ReWi</t>
  </si>
  <si>
    <t>686.68</t>
  </si>
  <si>
    <t>551.64+551.74</t>
  </si>
  <si>
    <t>Sonst. Kosten +  Anschaff. FS ReWi</t>
  </si>
  <si>
    <t>686.69</t>
  </si>
  <si>
    <t>Rechtsangelegenheiten FS ReWi</t>
  </si>
  <si>
    <t>686.7</t>
  </si>
  <si>
    <t>Zuweisung Fachschaft METI</t>
  </si>
  <si>
    <t>686.71</t>
  </si>
  <si>
    <t>413.25+413.10</t>
  </si>
  <si>
    <t>AE FS Meti</t>
  </si>
  <si>
    <t>Fahrtk.+Verpfl. FS Meti</t>
  </si>
  <si>
    <t>686.73</t>
  </si>
  <si>
    <t>551.15+51.25+551.35</t>
  </si>
  <si>
    <t>Honorare und RK Doz. FS Meti</t>
  </si>
  <si>
    <t>Raum- u. Unterk.f. Sitz.+Veranst.FS Meti</t>
  </si>
  <si>
    <t>Bewirtungsk.f. Sitz./Veranst. FS Meti</t>
  </si>
  <si>
    <t>Raumk. Sem. + Unterk. Doz.+Teiln. FS Meti</t>
  </si>
  <si>
    <t>Bewirtungsk. Seminare FS Meti</t>
  </si>
  <si>
    <t>686.78</t>
  </si>
  <si>
    <t>551.65+551.75</t>
  </si>
  <si>
    <t>Sonst. Kosten +  Anschaff. FS Meti</t>
  </si>
  <si>
    <t>686.79</t>
  </si>
  <si>
    <t>Rechtsangelegenheiten FS Meti</t>
  </si>
  <si>
    <t>686.8</t>
  </si>
  <si>
    <t>Studienbegleitende Veranstalt.</t>
  </si>
  <si>
    <t>Honorare Veranstalten RZ/StZ</t>
  </si>
  <si>
    <t>Zuschüssen RZ/StZ</t>
  </si>
  <si>
    <t>686.84</t>
  </si>
  <si>
    <t>681.80+681.10+681.20</t>
  </si>
  <si>
    <t>Sonstige Kosten RZ/StZ</t>
  </si>
  <si>
    <t>685.10+685.20</t>
  </si>
  <si>
    <t>SUMME PLAN 6</t>
  </si>
  <si>
    <t>Darlehen an Studierende</t>
  </si>
  <si>
    <t>Darlehen für Auslandssemester</t>
  </si>
  <si>
    <t>SUMME PLAN 8</t>
  </si>
  <si>
    <t xml:space="preserve">Zuführung zur Rücklage </t>
  </si>
  <si>
    <t>Zuführung Sonderrücklage Wahlen</t>
  </si>
  <si>
    <t>930.00</t>
  </si>
  <si>
    <t>Zuführung zur Rücklage AStA Innovative Projekte</t>
  </si>
  <si>
    <t>Zuführung zur Sonderrücklage Umsatzsteuer</t>
  </si>
  <si>
    <t>SUMME PLAN 9</t>
  </si>
  <si>
    <t>SUMME Ausgaben</t>
  </si>
  <si>
    <t>Ergebnis (Einnahmen - Ausgaben)</t>
  </si>
  <si>
    <t>Soll zum 30.09.22</t>
  </si>
  <si>
    <t>IST zum 30.09.22</t>
  </si>
  <si>
    <t>Allgemeine Rücklagen</t>
  </si>
  <si>
    <t>Sonderrücklagen Wahlen</t>
  </si>
  <si>
    <t>Sonderrücklagen Umsatzsteuer</t>
  </si>
  <si>
    <t>Soll zum 30.09.21</t>
  </si>
  <si>
    <t>./. Betriebsmittelrücklage (§12 Abs.2 HWVO)</t>
  </si>
  <si>
    <t>./. 5% Studierendenschaftsbeiträge</t>
  </si>
  <si>
    <t>freie Mittel</t>
  </si>
  <si>
    <t>./. Rücklagen für Wahlen (Ansatz: 18% Studierendenschaftsbeiträge)</t>
  </si>
  <si>
    <t>ungebundene Mittel</t>
  </si>
  <si>
    <t>Umbuchung auf AStA-Beautragungen</t>
  </si>
  <si>
    <t>Guddas</t>
  </si>
  <si>
    <t>RKA 09.2023</t>
  </si>
  <si>
    <t>Korrektur/Übertrag neuer HHP</t>
  </si>
  <si>
    <t>412.40 AStA-Beauftragungen</t>
  </si>
  <si>
    <t>527.51 RK+Verpfl. AStA-Gäste</t>
  </si>
  <si>
    <t>RKA 10.2023</t>
  </si>
  <si>
    <t>RKA 03.2024</t>
  </si>
  <si>
    <t xml:space="preserve">RKA 04.2024 </t>
  </si>
  <si>
    <t>2024/2025</t>
  </si>
  <si>
    <t>2025 / 2026</t>
  </si>
  <si>
    <t>2025/2026</t>
  </si>
  <si>
    <t>Neu</t>
  </si>
  <si>
    <t>Alt</t>
  </si>
  <si>
    <t>Ist</t>
  </si>
  <si>
    <t>SP-Beschluss 17.12.22</t>
  </si>
  <si>
    <t>NACHTRAG
SP-Beschluss 10.08.2024</t>
  </si>
  <si>
    <t>SP 07.09.2024</t>
  </si>
  <si>
    <t>Entwurf</t>
  </si>
  <si>
    <t>Teilnahmebeiträge Seminare FS WiWi</t>
  </si>
  <si>
    <t>Teilnahmebeiträge Veranstaltungen FS WiWi</t>
  </si>
  <si>
    <t>Sonstige (Werbung, Förderung, Bewirtung) WiWi</t>
  </si>
  <si>
    <t>Teilnahmebeiträge Seminare FS KSW</t>
  </si>
  <si>
    <t>Teilnahmebeiträge Veranstaltungen FS KSW</t>
  </si>
  <si>
    <t>Sonstige (Werbung, Förderung, Bewirtung) KSW</t>
  </si>
  <si>
    <t>Teilnahmebeiträge Seminare FS Psy</t>
  </si>
  <si>
    <t>Teilnahmebeiträge Veranstaltungen FS Psy</t>
  </si>
  <si>
    <t>Sonstige (Werbung, Förderung, Bewirtung) Psy</t>
  </si>
  <si>
    <t>Teilnahmebeiträge Seminare FS ReWi</t>
  </si>
  <si>
    <t>Teilnahmebeiträge Veranstaltungen FS ReWi</t>
  </si>
  <si>
    <t>Sonstige (Werbung, Förderung, Bewirtung) ReWi</t>
  </si>
  <si>
    <t>Teilnahmebeiträge Seminare FS Meti</t>
  </si>
  <si>
    <t>Teilnahmebeiträge Veranstaltungen FS Meti</t>
  </si>
  <si>
    <t>Sonstige (Werbung, Förderung, Bewirtung) Meti</t>
  </si>
  <si>
    <t>Summe Einnahmen</t>
  </si>
  <si>
    <t>AE fest (800 EUR monatlich)</t>
  </si>
  <si>
    <t>AE variabel</t>
  </si>
  <si>
    <t>FK und Verpfl.pauschalen</t>
  </si>
  <si>
    <t>Raum-u. Unterkunftskosten</t>
  </si>
  <si>
    <t>Bewirtung und Repräsentation intern</t>
  </si>
  <si>
    <t>Honorare Fachseminare</t>
  </si>
  <si>
    <t>Ext. Reisekosten</t>
  </si>
  <si>
    <t>Raum-u. Unterkunftskosten Sem.+Veranst.</t>
  </si>
  <si>
    <t>Verwaltungs- u. Druckkosten Seminare</t>
  </si>
  <si>
    <t>Sonstige Kosten (Lizenzen, Allg.Geschäftsbetrieb)</t>
  </si>
  <si>
    <t>Rechtsangelegenheiten</t>
  </si>
  <si>
    <t>Summe Einnahmen - Ausgaben WiWi</t>
  </si>
  <si>
    <t>Summe Einnahmen - Ausgaben KSW</t>
  </si>
  <si>
    <t>Summe Einnahmen - Ausgaben Psych</t>
  </si>
  <si>
    <t>Summe Einnahmen - Ausgaben ReWi</t>
  </si>
  <si>
    <t>676.78</t>
  </si>
  <si>
    <t>Summe Einnahmen - Ausgaben Meti</t>
  </si>
  <si>
    <t>SUMME  Ausgaben Gesamt</t>
  </si>
  <si>
    <t>Summe Einnahmen Gesamt</t>
  </si>
  <si>
    <t>Summe Einnahmen - Ausgaben Gesamt alle FS</t>
  </si>
  <si>
    <t>HHJ 2024/2025</t>
  </si>
  <si>
    <t>676.38</t>
  </si>
  <si>
    <t>HHJ 2025/2026</t>
  </si>
  <si>
    <t>676.48</t>
  </si>
  <si>
    <t>Teilnahmebeiträge Seminare FS Psych</t>
  </si>
  <si>
    <t>Teilnahmebeiträge Veranstaltungen FS Psych</t>
  </si>
  <si>
    <t>Sonstige (Werbung, Förderung, Bewirtung) Psych</t>
  </si>
  <si>
    <t>Zuweisung an Fachschaft Psych</t>
  </si>
  <si>
    <t>Variable Aufwandsentschädigungen Unigremien HHJ 2025/2026</t>
  </si>
  <si>
    <t>Monat</t>
  </si>
  <si>
    <t>Kosten-
stelle</t>
  </si>
  <si>
    <t>K001485</t>
  </si>
  <si>
    <t>K004213</t>
  </si>
  <si>
    <t>A.) Deckungsfähigkeiten</t>
  </si>
  <si>
    <t xml:space="preserve">1.) </t>
  </si>
  <si>
    <t>Personal-,  Reise- und Bewirtungskosten</t>
  </si>
  <si>
    <t>Gegenseitig deckungsfähig sind die Konten und Unterkonten</t>
  </si>
  <si>
    <t>des Plans 4 sowie die Konten 527 und 529</t>
  </si>
  <si>
    <t xml:space="preserve">2.) </t>
  </si>
  <si>
    <t>Geschäftsbetrieb und Rechtsangelgenheiten</t>
  </si>
  <si>
    <t>511 bis 526</t>
  </si>
  <si>
    <t xml:space="preserve">3. ) </t>
  </si>
  <si>
    <t>AstA- und SP-Aktivitäten</t>
  </si>
  <si>
    <t>531, 532, 533, 536, 538, 539, 546, 550 sowie</t>
  </si>
  <si>
    <t>686.10 und 687</t>
  </si>
  <si>
    <t xml:space="preserve">4.) </t>
  </si>
  <si>
    <t>Fachschaften</t>
  </si>
  <si>
    <t>686.21 bis 686.26</t>
  </si>
  <si>
    <t>(FSRK)</t>
  </si>
  <si>
    <t>686.31 bis 686.39</t>
  </si>
  <si>
    <t>(Wiwi)</t>
  </si>
  <si>
    <t>686.41 bis 686.49</t>
  </si>
  <si>
    <t>(KSW)</t>
  </si>
  <si>
    <t>686.51 bis 686.59</t>
  </si>
  <si>
    <t>(Psy)</t>
  </si>
  <si>
    <t>686.61 bis 686.69</t>
  </si>
  <si>
    <t>(Rewi)</t>
  </si>
  <si>
    <t>686.71 bis 686.79</t>
  </si>
  <si>
    <t>(Meti)</t>
  </si>
  <si>
    <t>B.) Verstärkungen (bei Einnahmen über Ansatz)</t>
  </si>
  <si>
    <t>Konto</t>
  </si>
  <si>
    <t>531 wird verstärkt durch 125.10</t>
  </si>
  <si>
    <t>533 wird verstärkt durch 125.20</t>
  </si>
  <si>
    <t>536 wird verstärkt durch 129.70</t>
  </si>
  <si>
    <t>538 wird verstärkt durch 129.90</t>
  </si>
  <si>
    <t>550 wird verstärkt durch 129.80</t>
  </si>
  <si>
    <t>686.10 wird verstärkt durch 129.50</t>
  </si>
  <si>
    <t>686.30 wird verstärkt durch 129.10</t>
  </si>
  <si>
    <t>686.40 wird verstärkt durch 129.20</t>
  </si>
  <si>
    <t>686.50 wird verstärkt durch 129.60</t>
  </si>
  <si>
    <t>686.60 wird verstärkt durch 129.40</t>
  </si>
  <si>
    <t>686.70 wird verstärkt durch 129.30</t>
  </si>
  <si>
    <t>Konten</t>
  </si>
  <si>
    <t>860 und 861 werden verstärkt durch 182.0</t>
  </si>
  <si>
    <t>Die Gesamtdeckungsfähigkeit aller Einnahmen und Ausgaben</t>
  </si>
  <si>
    <t xml:space="preserve"> untereinander bleibt hiervon unberührt.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</si>
</sst>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8" formatCode="#,##0.00\ &quot;€&quot;;[Red]\-#,##0.00\ &quot;€&quot;"/>
    <numFmt numFmtId="164" formatCode="#,##0.00\ &quot;€&quot;"/>
    <numFmt numFmtId="165" formatCode="_-* #,##0.00&quot; €&quot;_-;\-* #,##0.00&quot; €&quot;_-;_-* \-??&quot; €&quot;_-;_-@_-"/>
    <numFmt numFmtId="166" formatCode="0\ %"/>
    <numFmt numFmtId="167" formatCode="_-* #,##0.00\ [$€-407]_-;\-* #,##0.00\ [$€-407]_-;_-* &quot;-&quot;??\ [$€-407]_-;_-@_-"/>
    <numFmt numFmtId="168" formatCode="#,##0.00\ [$€-407];[Red]\-#,##0.00\ [$€-407]"/>
    <numFmt numFmtId="169" formatCode="#,##0.00&quot; € &quot;;&quot;-&quot;#,##0.00&quot; € &quot;;&quot; -&quot;#&quot; € &quot;;@&quot; &quot;"/>
    <numFmt numFmtId="170" formatCode="[$-407]mmm/\ yy;@"/>
    <numFmt numFmtId="171" formatCode="#,###,###,##0.00"/>
  </numFmts>
  <fonts count="8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2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name val="Calibri"/>
      <family val="2"/>
    </font>
    <font>
      <u/>
      <sz val="11"/>
      <color theme="10"/>
      <name val="Calibri"/>
      <family val="2"/>
      <scheme val="minor"/>
    </font>
    <font>
      <sz val="12"/>
      <color indexed="8"/>
      <name val="Calibri"/>
      <family val="2"/>
    </font>
    <font>
      <sz val="11"/>
      <color rgb="FF000000"/>
      <name val="Calibri"/>
      <family val="2"/>
      <charset val="1"/>
    </font>
    <font>
      <sz val="11"/>
      <name val="Calibri"/>
      <family val="2"/>
      <scheme val="minor"/>
    </font>
    <font>
      <sz val="11"/>
      <color indexed="8"/>
      <name val="Calibri"/>
      <family val="2"/>
    </font>
    <font>
      <b/>
      <sz val="11"/>
      <color indexed="8"/>
      <name val="Calibri"/>
      <family val="2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vertAlign val="subscript"/>
      <sz val="8"/>
      <color theme="0"/>
      <name val="Calibri"/>
      <family val="2"/>
      <scheme val="minor"/>
    </font>
    <font>
      <vertAlign val="subscript"/>
      <sz val="8"/>
      <color theme="0"/>
      <name val="Calibri"/>
      <family val="2"/>
      <scheme val="minor"/>
    </font>
    <font>
      <u/>
      <sz val="11"/>
      <name val="Calibri"/>
      <family val="2"/>
    </font>
    <font>
      <sz val="10"/>
      <color indexed="9"/>
      <name val="Calibri"/>
      <family val="2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9"/>
      <color theme="4" tint="-0.249977111117893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9"/>
      <name val="Calibri"/>
      <family val="2"/>
      <scheme val="minor"/>
    </font>
    <font>
      <b/>
      <sz val="8"/>
      <color theme="4" tint="-0.249977111117893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color theme="4" tint="-0.249977111117893"/>
      <name val="Calibri"/>
      <family val="2"/>
      <scheme val="minor"/>
    </font>
    <font>
      <b/>
      <sz val="10"/>
      <color theme="4" tint="-0.249977111117893"/>
      <name val="Calibri"/>
      <family val="2"/>
      <scheme val="minor"/>
    </font>
    <font>
      <sz val="10"/>
      <name val="Calibri"/>
      <family val="2"/>
      <scheme val="minor"/>
    </font>
    <font>
      <sz val="9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11"/>
      <color indexed="8"/>
      <name val="Calibri"/>
      <family val="2"/>
      <charset val="1"/>
    </font>
    <font>
      <b/>
      <sz val="11"/>
      <color rgb="FFFFFF00"/>
      <name val="Calibri"/>
      <family val="2"/>
      <scheme val="minor"/>
    </font>
    <font>
      <sz val="11"/>
      <name val="Calibri"/>
      <family val="2"/>
      <charset val="1"/>
    </font>
    <font>
      <sz val="9"/>
      <color theme="1"/>
      <name val="Calibri"/>
      <family val="2"/>
      <scheme val="minor"/>
    </font>
    <font>
      <b/>
      <u/>
      <sz val="10"/>
      <color indexed="8"/>
      <name val="Calibri"/>
      <family val="2"/>
      <scheme val="minor"/>
    </font>
    <font>
      <sz val="10"/>
      <color indexed="8"/>
      <name val="Calibri"/>
      <family val="2"/>
      <scheme val="minor"/>
    </font>
    <font>
      <sz val="10"/>
      <color rgb="FF0070C0"/>
      <name val="Calibri"/>
      <family val="2"/>
      <scheme val="minor"/>
    </font>
    <font>
      <b/>
      <sz val="11"/>
      <color rgb="FF0070C0"/>
      <name val="Calibri"/>
      <family val="2"/>
      <scheme val="minor"/>
    </font>
    <font>
      <b/>
      <sz val="10"/>
      <name val="Calibri"/>
      <family val="2"/>
      <scheme val="minor"/>
    </font>
    <font>
      <sz val="11"/>
      <color rgb="FF0070C0"/>
      <name val="Calibri"/>
      <family val="2"/>
      <scheme val="minor"/>
    </font>
    <font>
      <sz val="10"/>
      <color indexed="8"/>
      <name val="Arial"/>
      <family val="2"/>
    </font>
    <font>
      <b/>
      <sz val="10"/>
      <color rgb="FFFF0000"/>
      <name val="Calibri"/>
      <family val="2"/>
      <scheme val="minor"/>
    </font>
    <font>
      <b/>
      <u/>
      <sz val="11"/>
      <color rgb="FF0070C0"/>
      <name val="Calibri"/>
      <family val="2"/>
      <scheme val="minor"/>
    </font>
    <font>
      <b/>
      <u/>
      <sz val="11"/>
      <color theme="4" tint="-0.249977111117893"/>
      <name val="Calibri"/>
      <family val="2"/>
      <scheme val="minor"/>
    </font>
    <font>
      <b/>
      <sz val="9"/>
      <color theme="0"/>
      <name val="Calibri"/>
      <family val="2"/>
      <scheme val="minor"/>
    </font>
    <font>
      <sz val="11"/>
      <color rgb="FF00B050"/>
      <name val="Calibri"/>
      <family val="2"/>
      <scheme val="minor"/>
    </font>
    <font>
      <b/>
      <sz val="8"/>
      <name val="Calibri"/>
      <family val="2"/>
      <scheme val="minor"/>
    </font>
    <font>
      <sz val="11"/>
      <color indexed="8"/>
      <name val="Calibri"/>
      <family val="2"/>
      <scheme val="minor"/>
    </font>
    <font>
      <sz val="8"/>
      <name val="Calibri"/>
      <family val="2"/>
      <scheme val="minor"/>
    </font>
    <font>
      <sz val="11"/>
      <color rgb="FF000000"/>
      <name val="Calibri"/>
      <family val="2"/>
    </font>
    <font>
      <b/>
      <sz val="7"/>
      <color theme="1"/>
      <name val="Calibri"/>
      <family val="2"/>
      <scheme val="minor"/>
    </font>
    <font>
      <b/>
      <sz val="12"/>
      <name val="Arial"/>
      <family val="2"/>
    </font>
    <font>
      <sz val="14"/>
      <color indexed="8"/>
      <name val="Calibri"/>
      <family val="2"/>
    </font>
    <font>
      <sz val="14"/>
      <name val="Arial"/>
      <family val="2"/>
    </font>
    <font>
      <b/>
      <sz val="14"/>
      <color indexed="8"/>
      <name val="Calibri"/>
      <family val="2"/>
    </font>
    <font>
      <b/>
      <sz val="10"/>
      <name val="Arial"/>
      <family val="2"/>
      <charset val="1"/>
    </font>
    <font>
      <u/>
      <sz val="11"/>
      <color indexed="8"/>
      <name val="Calibri"/>
      <family val="2"/>
      <charset val="1"/>
    </font>
    <font>
      <sz val="8"/>
      <color theme="1"/>
      <name val="Calibri"/>
      <family val="2"/>
      <scheme val="minor"/>
    </font>
    <font>
      <sz val="6"/>
      <color theme="1"/>
      <name val="Calibri"/>
      <family val="2"/>
      <scheme val="minor"/>
    </font>
    <font>
      <sz val="8"/>
      <color indexed="8"/>
      <name val="Calibri"/>
      <family val="2"/>
      <charset val="1"/>
    </font>
    <font>
      <sz val="10"/>
      <color indexed="8"/>
      <name val="Calibri"/>
      <family val="2"/>
      <charset val="1"/>
    </font>
    <font>
      <b/>
      <sz val="14"/>
      <color theme="1"/>
      <name val="Calibri"/>
      <family val="2"/>
      <scheme val="minor"/>
    </font>
    <font>
      <sz val="9"/>
      <color rgb="FFFF0000"/>
      <name val="Calibri"/>
      <family val="2"/>
      <scheme val="minor"/>
    </font>
    <font>
      <sz val="9"/>
      <color theme="0"/>
      <name val="Calibri"/>
      <family val="2"/>
      <scheme val="minor"/>
    </font>
    <font>
      <sz val="7"/>
      <name val="Calibri"/>
      <family val="2"/>
      <scheme val="minor"/>
    </font>
    <font>
      <b/>
      <sz val="7"/>
      <color theme="4" tint="-0.249977111117893"/>
      <name val="Calibri"/>
      <family val="2"/>
      <scheme val="minor"/>
    </font>
    <font>
      <sz val="11"/>
      <color rgb="FFFF0000"/>
      <name val="Calibri"/>
      <family val="2"/>
      <scheme val="minor"/>
    </font>
    <font>
      <sz val="9"/>
      <color theme="2" tint="-0.249977111117893"/>
      <name val="Calibri"/>
      <family val="2"/>
      <scheme val="minor"/>
    </font>
    <font>
      <sz val="10"/>
      <name val="Calibri"/>
      <family val="2"/>
    </font>
    <font>
      <b/>
      <sz val="8"/>
      <color theme="1"/>
      <name val="Calibri"/>
      <family val="2"/>
      <scheme val="minor"/>
    </font>
    <font>
      <b/>
      <sz val="9"/>
      <color rgb="FF0070C0"/>
      <name val="Calibri"/>
      <family val="2"/>
      <scheme val="minor"/>
    </font>
    <font>
      <b/>
      <sz val="10"/>
      <color rgb="FF0070C0"/>
      <name val="Calibri"/>
      <family val="2"/>
      <scheme val="minor"/>
    </font>
    <font>
      <b/>
      <u/>
      <sz val="11"/>
      <color theme="10"/>
      <name val="Calibri"/>
      <family val="2"/>
      <scheme val="minor"/>
    </font>
    <font>
      <sz val="9"/>
      <color theme="0" tint="-0.34998626667073579"/>
      <name val="Calibri"/>
      <family val="2"/>
      <scheme val="minor"/>
    </font>
    <font>
      <sz val="7"/>
      <color theme="1"/>
      <name val="Calibri"/>
      <family val="2"/>
      <scheme val="minor"/>
    </font>
    <font>
      <b/>
      <sz val="11"/>
      <color rgb="FFFFFFFF"/>
      <name val="Calibri"/>
      <family val="2"/>
    </font>
    <font>
      <b/>
      <sz val="11"/>
      <color rgb="FF000000"/>
      <name val="Calibri"/>
      <family val="2"/>
    </font>
    <font>
      <b/>
      <sz val="10"/>
      <color rgb="FF000000"/>
      <name val="Calibri"/>
      <family val="2"/>
    </font>
    <font>
      <b/>
      <sz val="12"/>
      <color rgb="FF000000"/>
      <name val="Calibri"/>
      <family val="2"/>
    </font>
    <font>
      <sz val="10"/>
      <color rgb="FF000000"/>
      <name val="Calibri"/>
      <family val="2"/>
    </font>
    <font>
      <sz val="9"/>
      <color rgb="FF000000"/>
      <name val="Calibri"/>
      <family val="2"/>
    </font>
    <font>
      <sz val="9"/>
      <color rgb="FFFF0000"/>
      <name val="Calibri"/>
      <family val="2"/>
    </font>
  </fonts>
  <fills count="28">
    <fill>
      <patternFill patternType="none"/>
    </fill>
    <fill>
      <patternFill patternType="gray125"/>
    </fill>
    <fill>
      <patternFill patternType="solid">
        <fgColor theme="9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7C80"/>
        <bgColor indexed="64"/>
      </patternFill>
    </fill>
    <fill>
      <patternFill patternType="solid">
        <fgColor rgb="FFFFCCCC"/>
        <bgColor indexed="64"/>
      </patternFill>
    </fill>
    <fill>
      <patternFill patternType="solid">
        <fgColor indexed="31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6"/>
        <bgColor theme="6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A5A5A5"/>
        <bgColor rgb="FFA5A5A5"/>
      </patternFill>
    </fill>
    <fill>
      <patternFill patternType="solid">
        <fgColor rgb="FF70AD47"/>
        <bgColor rgb="FF000000"/>
      </patternFill>
    </fill>
    <fill>
      <patternFill patternType="solid">
        <fgColor rgb="FFA9D08E"/>
        <bgColor rgb="FF000000"/>
      </patternFill>
    </fill>
    <fill>
      <patternFill patternType="solid">
        <fgColor rgb="FFE2EFDA"/>
        <bgColor rgb="FF000000"/>
      </patternFill>
    </fill>
    <fill>
      <patternFill patternType="solid">
        <fgColor rgb="FFFF0000"/>
        <bgColor rgb="FF000000"/>
      </patternFill>
    </fill>
    <fill>
      <patternFill patternType="solid">
        <fgColor rgb="FFFF7C80"/>
        <bgColor rgb="FF000000"/>
      </patternFill>
    </fill>
    <fill>
      <patternFill patternType="solid">
        <fgColor rgb="FFFFCCCC"/>
        <bgColor rgb="FF000000"/>
      </patternFill>
    </fill>
    <fill>
      <patternFill patternType="solid">
        <fgColor rgb="FFFFFF00"/>
        <bgColor rgb="FF000000"/>
      </patternFill>
    </fill>
  </fills>
  <borders count="216"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/>
      <bottom style="medium">
        <color indexed="64"/>
      </bottom>
      <diagonal/>
    </border>
    <border>
      <left style="thin">
        <color auto="1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/>
      <right style="thin">
        <color theme="6"/>
      </right>
      <top style="thin">
        <color theme="6"/>
      </top>
      <bottom/>
      <diagonal/>
    </border>
    <border>
      <left/>
      <right style="thin">
        <color theme="6"/>
      </right>
      <top style="thin">
        <color theme="6"/>
      </top>
      <bottom style="thin">
        <color theme="6"/>
      </bottom>
      <diagonal/>
    </border>
    <border>
      <left style="medium">
        <color indexed="64"/>
      </left>
      <right/>
      <top style="medium">
        <color indexed="64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ck">
        <color indexed="64"/>
      </left>
      <right style="medium">
        <color indexed="64"/>
      </right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medium">
        <color indexed="64"/>
      </right>
      <top/>
      <bottom/>
      <diagonal/>
    </border>
    <border>
      <left/>
      <right style="thick">
        <color indexed="64"/>
      </right>
      <top/>
      <bottom/>
      <diagonal/>
    </border>
    <border>
      <left style="thick">
        <color indexed="64"/>
      </left>
      <right style="medium">
        <color indexed="64"/>
      </right>
      <top/>
      <bottom style="thin">
        <color indexed="64"/>
      </bottom>
      <diagonal/>
    </border>
    <border>
      <left style="thick">
        <color indexed="64"/>
      </left>
      <right style="medium">
        <color indexed="64"/>
      </right>
      <top style="thin">
        <color indexed="64"/>
      </top>
      <bottom style="thick">
        <color indexed="64"/>
      </bottom>
      <diagonal/>
    </border>
    <border>
      <left/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n">
        <color auto="1"/>
      </left>
      <right style="thin">
        <color auto="1"/>
      </right>
      <top/>
      <bottom style="medium">
        <color indexed="64"/>
      </bottom>
      <diagonal/>
    </border>
    <border>
      <left/>
      <right style="thin">
        <color auto="1"/>
      </right>
      <top/>
      <bottom style="medium">
        <color indexed="64"/>
      </bottom>
      <diagonal/>
    </border>
    <border>
      <left style="thin">
        <color indexed="64"/>
      </left>
      <right/>
      <top style="thick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ck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auto="1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auto="1"/>
      </left>
      <right/>
      <top/>
      <bottom style="thin">
        <color theme="6"/>
      </bottom>
      <diagonal/>
    </border>
    <border>
      <left/>
      <right/>
      <top/>
      <bottom style="thin">
        <color theme="6"/>
      </bottom>
      <diagonal/>
    </border>
    <border>
      <left style="thin">
        <color auto="1"/>
      </left>
      <right/>
      <top/>
      <bottom style="thin">
        <color theme="6"/>
      </bottom>
      <diagonal/>
    </border>
    <border>
      <left style="thin">
        <color indexed="64"/>
      </left>
      <right/>
      <top style="thin">
        <color indexed="64"/>
      </top>
      <bottom style="medium">
        <color auto="1"/>
      </bottom>
      <diagonal/>
    </border>
    <border>
      <left/>
      <right style="thin">
        <color rgb="FFFF0000"/>
      </right>
      <top/>
      <bottom/>
      <diagonal/>
    </border>
    <border>
      <left/>
      <right style="thin">
        <color rgb="FFFF0000"/>
      </right>
      <top/>
      <bottom style="thin">
        <color rgb="FFFF0000"/>
      </bottom>
      <diagonal/>
    </border>
    <border>
      <left/>
      <right/>
      <top/>
      <bottom style="thin">
        <color rgb="FFFF0000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auto="1"/>
      </bottom>
      <diagonal/>
    </border>
    <border>
      <left/>
      <right style="thin">
        <color rgb="FFA5A5A5"/>
      </right>
      <top style="thin">
        <color rgb="FFA5A5A5"/>
      </top>
      <bottom/>
      <diagonal/>
    </border>
    <border>
      <left/>
      <right/>
      <top/>
      <bottom style="thin">
        <color rgb="FFA5A5A5"/>
      </bottom>
      <diagonal/>
    </border>
    <border>
      <left/>
      <right style="thin">
        <color rgb="FFA5A5A5"/>
      </right>
      <top style="thin">
        <color rgb="FFA5A5A5"/>
      </top>
      <bottom style="thin">
        <color rgb="FFA5A5A5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ck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auto="1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ck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8"/>
      </bottom>
      <diagonal/>
    </border>
    <border>
      <left style="thin">
        <color indexed="8"/>
      </left>
      <right/>
      <top style="thin">
        <color indexed="64"/>
      </top>
      <bottom style="thin">
        <color indexed="8"/>
      </bottom>
      <diagonal/>
    </border>
    <border>
      <left/>
      <right/>
      <top style="thin">
        <color indexed="64"/>
      </top>
      <bottom style="thin">
        <color indexed="8"/>
      </bottom>
      <diagonal/>
    </border>
    <border>
      <left/>
      <right style="thick">
        <color indexed="64"/>
      </right>
      <top style="thin">
        <color indexed="64"/>
      </top>
      <bottom style="thin">
        <color indexed="8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ck">
        <color indexed="64"/>
      </right>
      <top style="thin">
        <color indexed="8"/>
      </top>
      <bottom style="thin">
        <color indexed="8"/>
      </bottom>
      <diagonal/>
    </border>
    <border>
      <left/>
      <right style="thin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64"/>
      </bottom>
      <diagonal/>
    </border>
    <border>
      <left/>
      <right style="thick">
        <color indexed="64"/>
      </right>
      <top style="thin">
        <color indexed="8"/>
      </top>
      <bottom style="thin">
        <color indexed="64"/>
      </bottom>
      <diagonal/>
    </border>
    <border>
      <left/>
      <right style="thin">
        <color indexed="64"/>
      </right>
      <top style="thin">
        <color indexed="8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auto="1"/>
      </bottom>
      <diagonal/>
    </border>
    <border>
      <left style="medium">
        <color indexed="64"/>
      </left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auto="1"/>
      </top>
      <bottom/>
      <diagonal/>
    </border>
    <border>
      <left style="medium">
        <color indexed="64"/>
      </left>
      <right/>
      <top style="thin">
        <color auto="1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/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medium">
        <color indexed="64"/>
      </right>
      <top style="thin">
        <color indexed="8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8"/>
      </left>
      <right style="medium">
        <color indexed="64"/>
      </right>
      <top style="thin">
        <color indexed="8"/>
      </top>
      <bottom/>
      <diagonal/>
    </border>
    <border>
      <left style="thin">
        <color indexed="8"/>
      </left>
      <right style="medium">
        <color indexed="64"/>
      </right>
      <top style="thin">
        <color indexed="8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/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/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medium">
        <color indexed="64"/>
      </right>
      <top style="thin">
        <color indexed="8"/>
      </top>
      <bottom/>
      <diagonal/>
    </border>
    <border>
      <left/>
      <right style="medium">
        <color indexed="64"/>
      </right>
      <top style="thin">
        <color auto="1"/>
      </top>
      <bottom/>
      <diagonal/>
    </border>
    <border>
      <left style="thin">
        <color indexed="8"/>
      </left>
      <right style="medium">
        <color indexed="64"/>
      </right>
      <top style="thin">
        <color indexed="8"/>
      </top>
      <bottom/>
      <diagonal/>
    </border>
    <border>
      <left style="thin">
        <color indexed="8"/>
      </left>
      <right style="medium">
        <color indexed="64"/>
      </right>
      <top style="thin">
        <color indexed="8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auto="1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auto="1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auto="1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/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medium">
        <color indexed="64"/>
      </right>
      <top style="thin">
        <color indexed="8"/>
      </top>
      <bottom/>
      <diagonal/>
    </border>
    <border>
      <left style="thin">
        <color indexed="8"/>
      </left>
      <right style="medium">
        <color indexed="64"/>
      </right>
      <top style="thin">
        <color indexed="8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/>
      <bottom style="thin">
        <color auto="1"/>
      </bottom>
      <diagonal/>
    </border>
    <border>
      <left style="medium">
        <color indexed="64"/>
      </left>
      <right style="thin">
        <color indexed="8"/>
      </right>
      <top/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/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medium">
        <color indexed="64"/>
      </right>
      <top style="thin">
        <color indexed="8"/>
      </top>
      <bottom/>
      <diagonal/>
    </border>
    <border>
      <left style="thin">
        <color indexed="8"/>
      </left>
      <right style="medium">
        <color indexed="64"/>
      </right>
      <top style="thin">
        <color indexed="8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/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medium">
        <color indexed="64"/>
      </right>
      <top style="thin">
        <color indexed="8"/>
      </top>
      <bottom/>
      <diagonal/>
    </border>
    <border>
      <left style="thin">
        <color indexed="8"/>
      </left>
      <right style="medium">
        <color indexed="64"/>
      </right>
      <top style="thin">
        <color indexed="8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1">
    <xf numFmtId="0" fontId="0" fillId="0" borderId="0"/>
    <xf numFmtId="0" fontId="6" fillId="0" borderId="0" applyNumberFormat="0" applyFill="0" applyBorder="0" applyAlignment="0" applyProtection="0"/>
    <xf numFmtId="0" fontId="7" fillId="8" borderId="0" applyNumberFormat="0" applyBorder="0" applyAlignment="0" applyProtection="0"/>
    <xf numFmtId="0" fontId="8" fillId="0" borderId="0"/>
    <xf numFmtId="165" fontId="8" fillId="0" borderId="0" applyBorder="0" applyProtection="0"/>
    <xf numFmtId="166" fontId="8" fillId="0" borderId="0" applyBorder="0" applyProtection="0"/>
    <xf numFmtId="0" fontId="10" fillId="0" borderId="0" applyBorder="0" applyProtection="0"/>
    <xf numFmtId="0" fontId="10" fillId="0" borderId="0" applyBorder="0" applyProtection="0"/>
    <xf numFmtId="0" fontId="30" fillId="0" borderId="0"/>
    <xf numFmtId="0" fontId="10" fillId="0" borderId="0"/>
    <xf numFmtId="169" fontId="49" fillId="0" borderId="0" applyBorder="0" applyProtection="0"/>
  </cellStyleXfs>
  <cellXfs count="1028">
    <xf numFmtId="0" fontId="0" fillId="0" borderId="0" xfId="0"/>
    <xf numFmtId="0" fontId="2" fillId="0" borderId="0" xfId="0" applyFont="1"/>
    <xf numFmtId="0" fontId="1" fillId="2" borderId="0" xfId="0" applyFont="1" applyFill="1"/>
    <xf numFmtId="0" fontId="0" fillId="3" borderId="0" xfId="0" applyFill="1"/>
    <xf numFmtId="0" fontId="0" fillId="4" borderId="0" xfId="0" applyFill="1"/>
    <xf numFmtId="0" fontId="3" fillId="0" borderId="0" xfId="0" applyFont="1"/>
    <xf numFmtId="0" fontId="1" fillId="0" borderId="0" xfId="0" applyFont="1"/>
    <xf numFmtId="0" fontId="4" fillId="0" borderId="0" xfId="0" applyFont="1"/>
    <xf numFmtId="0" fontId="1" fillId="5" borderId="0" xfId="0" applyFont="1" applyFill="1"/>
    <xf numFmtId="0" fontId="0" fillId="6" borderId="0" xfId="0" applyFill="1"/>
    <xf numFmtId="0" fontId="0" fillId="7" borderId="0" xfId="0" applyFill="1"/>
    <xf numFmtId="0" fontId="6" fillId="3" borderId="0" xfId="1" applyFill="1"/>
    <xf numFmtId="0" fontId="6" fillId="7" borderId="0" xfId="1" applyFill="1"/>
    <xf numFmtId="164" fontId="0" fillId="0" borderId="0" xfId="0" applyNumberFormat="1"/>
    <xf numFmtId="164" fontId="3" fillId="0" borderId="0" xfId="0" applyNumberFormat="1" applyFont="1"/>
    <xf numFmtId="164" fontId="0" fillId="4" borderId="0" xfId="0" applyNumberFormat="1" applyFill="1"/>
    <xf numFmtId="164" fontId="0" fillId="3" borderId="0" xfId="0" applyNumberFormat="1" applyFill="1"/>
    <xf numFmtId="164" fontId="0" fillId="6" borderId="0" xfId="0" applyNumberFormat="1" applyFill="1"/>
    <xf numFmtId="164" fontId="0" fillId="7" borderId="0" xfId="0" applyNumberFormat="1" applyFill="1"/>
    <xf numFmtId="164" fontId="1" fillId="2" borderId="0" xfId="0" applyNumberFormat="1" applyFont="1" applyFill="1"/>
    <xf numFmtId="0" fontId="9" fillId="0" borderId="0" xfId="0" applyFont="1"/>
    <xf numFmtId="164" fontId="9" fillId="0" borderId="0" xfId="0" applyNumberFormat="1" applyFont="1"/>
    <xf numFmtId="0" fontId="0" fillId="0" borderId="0" xfId="0" applyAlignment="1">
      <alignment vertical="center"/>
    </xf>
    <xf numFmtId="0" fontId="4" fillId="0" borderId="0" xfId="0" applyFont="1" applyAlignment="1">
      <alignment horizontal="right"/>
    </xf>
    <xf numFmtId="0" fontId="0" fillId="0" borderId="0" xfId="0" applyAlignment="1">
      <alignment horizontal="right"/>
    </xf>
    <xf numFmtId="0" fontId="14" fillId="0" borderId="0" xfId="0" applyFont="1"/>
    <xf numFmtId="0" fontId="14" fillId="2" borderId="0" xfId="0" applyFont="1" applyFill="1"/>
    <xf numFmtId="0" fontId="15" fillId="4" borderId="0" xfId="0" applyFont="1" applyFill="1"/>
    <xf numFmtId="0" fontId="15" fillId="3" borderId="0" xfId="0" applyFont="1" applyFill="1"/>
    <xf numFmtId="0" fontId="15" fillId="0" borderId="0" xfId="0" applyFont="1"/>
    <xf numFmtId="0" fontId="14" fillId="5" borderId="0" xfId="0" applyFont="1" applyFill="1"/>
    <xf numFmtId="0" fontId="15" fillId="6" borderId="0" xfId="0" applyFont="1" applyFill="1"/>
    <xf numFmtId="0" fontId="15" fillId="7" borderId="0" xfId="0" applyFont="1" applyFill="1"/>
    <xf numFmtId="0" fontId="15" fillId="7" borderId="0" xfId="0" applyFont="1" applyFill="1" applyAlignment="1">
      <alignment horizontal="left" indent="1"/>
    </xf>
    <xf numFmtId="0" fontId="15" fillId="7" borderId="0" xfId="0" applyFont="1" applyFill="1" applyAlignment="1">
      <alignment horizontal="left"/>
    </xf>
    <xf numFmtId="0" fontId="1" fillId="2" borderId="0" xfId="0" applyFont="1" applyFill="1" applyAlignment="1">
      <alignment horizontal="right"/>
    </xf>
    <xf numFmtId="0" fontId="1" fillId="5" borderId="0" xfId="0" applyFont="1" applyFill="1" applyAlignment="1">
      <alignment horizontal="right"/>
    </xf>
    <xf numFmtId="0" fontId="4" fillId="2" borderId="0" xfId="0" applyFont="1" applyFill="1" applyAlignment="1">
      <alignment horizontal="right"/>
    </xf>
    <xf numFmtId="0" fontId="4" fillId="11" borderId="0" xfId="0" applyFont="1" applyFill="1" applyAlignment="1">
      <alignment horizontal="right"/>
    </xf>
    <xf numFmtId="164" fontId="4" fillId="2" borderId="0" xfId="0" applyNumberFormat="1" applyFont="1" applyFill="1"/>
    <xf numFmtId="164" fontId="4" fillId="5" borderId="0" xfId="0" applyNumberFormat="1" applyFont="1" applyFill="1"/>
    <xf numFmtId="0" fontId="3" fillId="0" borderId="0" xfId="0" applyFont="1" applyAlignment="1">
      <alignment horizontal="right"/>
    </xf>
    <xf numFmtId="0" fontId="0" fillId="4" borderId="0" xfId="0" applyFill="1" applyAlignment="1">
      <alignment horizontal="right"/>
    </xf>
    <xf numFmtId="0" fontId="0" fillId="3" borderId="0" xfId="0" applyFill="1" applyAlignment="1">
      <alignment horizontal="right"/>
    </xf>
    <xf numFmtId="0" fontId="9" fillId="0" borderId="0" xfId="0" applyFont="1" applyAlignment="1">
      <alignment horizontal="right"/>
    </xf>
    <xf numFmtId="0" fontId="0" fillId="6" borderId="0" xfId="0" applyFill="1" applyAlignment="1">
      <alignment horizontal="right"/>
    </xf>
    <xf numFmtId="0" fontId="0" fillId="7" borderId="0" xfId="0" applyFill="1" applyAlignment="1">
      <alignment horizontal="right"/>
    </xf>
    <xf numFmtId="0" fontId="0" fillId="7" borderId="0" xfId="0" applyFill="1" applyAlignment="1">
      <alignment horizontal="right" indent="1"/>
    </xf>
    <xf numFmtId="0" fontId="1" fillId="0" borderId="0" xfId="0" applyFont="1" applyAlignment="1">
      <alignment horizontal="left"/>
    </xf>
    <xf numFmtId="0" fontId="14" fillId="0" borderId="0" xfId="0" applyFont="1" applyAlignment="1">
      <alignment horizontal="left"/>
    </xf>
    <xf numFmtId="0" fontId="0" fillId="0" borderId="0" xfId="0" applyAlignment="1">
      <alignment horizontal="left"/>
    </xf>
    <xf numFmtId="0" fontId="3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5" fillId="0" borderId="0" xfId="2" applyFont="1" applyFill="1" applyBorder="1" applyAlignment="1" applyProtection="1">
      <alignment vertical="top"/>
    </xf>
    <xf numFmtId="164" fontId="0" fillId="0" borderId="0" xfId="0" applyNumberFormat="1" applyAlignment="1">
      <alignment horizontal="right"/>
    </xf>
    <xf numFmtId="0" fontId="0" fillId="3" borderId="0" xfId="0" applyFill="1" applyAlignment="1">
      <alignment horizontal="left"/>
    </xf>
    <xf numFmtId="0" fontId="16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5" fillId="11" borderId="0" xfId="0" applyFont="1" applyFill="1" applyAlignment="1">
      <alignment vertical="center"/>
    </xf>
    <xf numFmtId="0" fontId="5" fillId="12" borderId="0" xfId="0" applyFont="1" applyFill="1" applyAlignment="1">
      <alignment vertical="center" wrapText="1"/>
    </xf>
    <xf numFmtId="0" fontId="5" fillId="13" borderId="0" xfId="0" applyFont="1" applyFill="1" applyAlignment="1">
      <alignment vertical="center" wrapText="1"/>
    </xf>
    <xf numFmtId="0" fontId="17" fillId="0" borderId="0" xfId="7" applyFont="1" applyBorder="1" applyAlignment="1" applyProtection="1">
      <alignment horizontal="left" vertical="center"/>
    </xf>
    <xf numFmtId="0" fontId="20" fillId="0" borderId="19" xfId="0" applyFont="1" applyBorder="1" applyAlignment="1">
      <alignment horizontal="center" vertical="center"/>
    </xf>
    <xf numFmtId="0" fontId="21" fillId="0" borderId="21" xfId="0" applyFont="1" applyBorder="1" applyAlignment="1">
      <alignment horizontal="center" vertical="center"/>
    </xf>
    <xf numFmtId="167" fontId="0" fillId="0" borderId="0" xfId="0" applyNumberFormat="1" applyAlignment="1">
      <alignment vertical="center"/>
    </xf>
    <xf numFmtId="0" fontId="1" fillId="0" borderId="0" xfId="0" applyFont="1" applyAlignment="1">
      <alignment horizontal="center" vertical="center"/>
    </xf>
    <xf numFmtId="0" fontId="0" fillId="0" borderId="2" xfId="0" applyBorder="1" applyAlignment="1">
      <alignment vertical="center"/>
    </xf>
    <xf numFmtId="0" fontId="20" fillId="0" borderId="3" xfId="0" applyFont="1" applyBorder="1" applyAlignment="1">
      <alignment horizontal="center" vertical="center"/>
    </xf>
    <xf numFmtId="0" fontId="22" fillId="0" borderId="7" xfId="0" applyFont="1" applyBorder="1" applyAlignment="1">
      <alignment horizontal="center" vertical="center"/>
    </xf>
    <xf numFmtId="0" fontId="22" fillId="0" borderId="1" xfId="0" applyFont="1" applyBorder="1" applyAlignment="1">
      <alignment horizontal="center" vertical="center"/>
    </xf>
    <xf numFmtId="0" fontId="21" fillId="0" borderId="5" xfId="0" applyFont="1" applyBorder="1" applyAlignment="1">
      <alignment horizontal="center" vertical="center"/>
    </xf>
    <xf numFmtId="0" fontId="21" fillId="0" borderId="4" xfId="0" applyFont="1" applyBorder="1" applyAlignment="1">
      <alignment horizontal="center" vertical="center"/>
    </xf>
    <xf numFmtId="14" fontId="23" fillId="0" borderId="12" xfId="0" applyNumberFormat="1" applyFont="1" applyBorder="1" applyAlignment="1">
      <alignment horizontal="center" vertical="center" wrapText="1"/>
    </xf>
    <xf numFmtId="14" fontId="21" fillId="0" borderId="13" xfId="0" applyNumberFormat="1" applyFont="1" applyBorder="1" applyAlignment="1">
      <alignment horizontal="center" vertical="center"/>
    </xf>
    <xf numFmtId="167" fontId="1" fillId="0" borderId="0" xfId="0" applyNumberFormat="1" applyFont="1" applyAlignment="1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vertical="center"/>
    </xf>
    <xf numFmtId="0" fontId="0" fillId="5" borderId="0" xfId="0" applyFill="1" applyAlignment="1">
      <alignment vertical="center"/>
    </xf>
    <xf numFmtId="0" fontId="18" fillId="5" borderId="0" xfId="0" applyFont="1" applyFill="1" applyAlignment="1">
      <alignment vertical="center"/>
    </xf>
    <xf numFmtId="167" fontId="31" fillId="0" borderId="0" xfId="0" applyNumberFormat="1" applyFont="1" applyAlignment="1">
      <alignment vertical="center"/>
    </xf>
    <xf numFmtId="0" fontId="31" fillId="0" borderId="0" xfId="0" applyFont="1" applyAlignment="1">
      <alignment vertical="center"/>
    </xf>
    <xf numFmtId="167" fontId="9" fillId="0" borderId="0" xfId="0" applyNumberFormat="1" applyFont="1" applyAlignment="1">
      <alignment vertical="center"/>
    </xf>
    <xf numFmtId="40" fontId="0" fillId="0" borderId="0" xfId="0" applyNumberFormat="1" applyAlignment="1">
      <alignment vertical="center"/>
    </xf>
    <xf numFmtId="164" fontId="25" fillId="0" borderId="0" xfId="0" applyNumberFormat="1" applyFont="1" applyAlignment="1">
      <alignment vertical="center"/>
    </xf>
    <xf numFmtId="164" fontId="0" fillId="0" borderId="0" xfId="0" applyNumberFormat="1" applyAlignment="1">
      <alignment vertical="center"/>
    </xf>
    <xf numFmtId="0" fontId="25" fillId="0" borderId="0" xfId="0" applyFont="1" applyAlignment="1">
      <alignment horizontal="center" vertical="center"/>
    </xf>
    <xf numFmtId="0" fontId="34" fillId="0" borderId="0" xfId="0" applyFont="1" applyAlignment="1">
      <alignment horizontal="right" vertical="center"/>
    </xf>
    <xf numFmtId="0" fontId="35" fillId="0" borderId="0" xfId="0" applyFont="1" applyAlignment="1">
      <alignment horizontal="right" vertical="center"/>
    </xf>
    <xf numFmtId="164" fontId="25" fillId="0" borderId="0" xfId="0" applyNumberFormat="1" applyFont="1" applyAlignment="1" applyProtection="1">
      <alignment vertical="center"/>
      <protection locked="0"/>
    </xf>
    <xf numFmtId="164" fontId="27" fillId="0" borderId="0" xfId="0" applyNumberFormat="1" applyFont="1" applyAlignment="1">
      <alignment vertical="center"/>
    </xf>
    <xf numFmtId="164" fontId="9" fillId="0" borderId="0" xfId="0" applyNumberFormat="1" applyFont="1" applyAlignment="1">
      <alignment vertical="center"/>
    </xf>
    <xf numFmtId="164" fontId="9" fillId="0" borderId="0" xfId="0" applyNumberFormat="1" applyFont="1" applyAlignment="1" applyProtection="1">
      <alignment vertical="center"/>
      <protection locked="0"/>
    </xf>
    <xf numFmtId="0" fontId="36" fillId="0" borderId="0" xfId="0" applyFont="1" applyAlignment="1">
      <alignment horizontal="right" vertical="center"/>
    </xf>
    <xf numFmtId="164" fontId="37" fillId="0" borderId="0" xfId="0" applyNumberFormat="1" applyFont="1" applyAlignment="1" applyProtection="1">
      <alignment vertical="center"/>
      <protection locked="0"/>
    </xf>
    <xf numFmtId="164" fontId="37" fillId="0" borderId="0" xfId="0" applyNumberFormat="1" applyFont="1" applyAlignment="1">
      <alignment vertical="center"/>
    </xf>
    <xf numFmtId="164" fontId="38" fillId="0" borderId="0" xfId="0" applyNumberFormat="1" applyFont="1" applyAlignment="1">
      <alignment vertical="center"/>
    </xf>
    <xf numFmtId="164" fontId="24" fillId="0" borderId="0" xfId="0" applyNumberFormat="1" applyFont="1" applyAlignment="1">
      <alignment vertical="center"/>
    </xf>
    <xf numFmtId="0" fontId="9" fillId="0" borderId="0" xfId="0" applyFont="1" applyAlignment="1">
      <alignment vertical="center"/>
    </xf>
    <xf numFmtId="164" fontId="0" fillId="0" borderId="0" xfId="0" applyNumberFormat="1" applyAlignment="1" applyProtection="1">
      <alignment vertical="center"/>
      <protection locked="0"/>
    </xf>
    <xf numFmtId="0" fontId="37" fillId="0" borderId="0" xfId="0" applyFont="1" applyAlignment="1">
      <alignment vertical="center"/>
    </xf>
    <xf numFmtId="164" fontId="37" fillId="0" borderId="0" xfId="0" applyNumberFormat="1" applyFont="1" applyAlignment="1">
      <alignment horizontal="center" vertical="center"/>
    </xf>
    <xf numFmtId="164" fontId="1" fillId="0" borderId="0" xfId="0" applyNumberFormat="1" applyFont="1" applyAlignment="1">
      <alignment vertical="center"/>
    </xf>
    <xf numFmtId="0" fontId="40" fillId="0" borderId="0" xfId="0" applyFont="1" applyAlignment="1">
      <alignment horizontal="right" vertical="center" wrapText="1"/>
    </xf>
    <xf numFmtId="0" fontId="13" fillId="0" borderId="0" xfId="0" quotePrefix="1" applyFont="1" applyAlignment="1">
      <alignment horizontal="right" vertical="center"/>
    </xf>
    <xf numFmtId="164" fontId="37" fillId="0" borderId="0" xfId="0" quotePrefix="1" applyNumberFormat="1" applyFont="1" applyAlignment="1">
      <alignment vertical="center"/>
    </xf>
    <xf numFmtId="0" fontId="35" fillId="0" borderId="0" xfId="0" applyFont="1" applyAlignment="1">
      <alignment horizontal="right" vertical="center" wrapText="1"/>
    </xf>
    <xf numFmtId="164" fontId="41" fillId="0" borderId="0" xfId="0" applyNumberFormat="1" applyFont="1" applyAlignment="1">
      <alignment vertical="center"/>
    </xf>
    <xf numFmtId="49" fontId="12" fillId="0" borderId="0" xfId="0" applyNumberFormat="1" applyFont="1" applyAlignment="1">
      <alignment horizontal="right" vertical="center"/>
    </xf>
    <xf numFmtId="164" fontId="42" fillId="0" borderId="0" xfId="0" applyNumberFormat="1" applyFont="1" applyAlignment="1">
      <alignment vertical="center"/>
    </xf>
    <xf numFmtId="0" fontId="13" fillId="0" borderId="0" xfId="0" applyFont="1" applyAlignment="1">
      <alignment vertical="center"/>
    </xf>
    <xf numFmtId="0" fontId="25" fillId="0" borderId="0" xfId="0" applyFont="1" applyAlignment="1">
      <alignment vertical="center"/>
    </xf>
    <xf numFmtId="0" fontId="12" fillId="0" borderId="0" xfId="0" applyFont="1" applyAlignment="1">
      <alignment horizontal="right" vertical="center"/>
    </xf>
    <xf numFmtId="164" fontId="43" fillId="0" borderId="0" xfId="0" applyNumberFormat="1" applyFont="1" applyAlignment="1">
      <alignment vertical="center"/>
    </xf>
    <xf numFmtId="164" fontId="24" fillId="0" borderId="0" xfId="0" applyNumberFormat="1" applyFont="1"/>
    <xf numFmtId="164" fontId="1" fillId="7" borderId="0" xfId="0" applyNumberFormat="1" applyFont="1" applyFill="1"/>
    <xf numFmtId="0" fontId="21" fillId="0" borderId="0" xfId="0" applyFont="1" applyAlignment="1">
      <alignment vertical="center"/>
    </xf>
    <xf numFmtId="164" fontId="12" fillId="0" borderId="0" xfId="0" applyNumberFormat="1" applyFont="1"/>
    <xf numFmtId="164" fontId="1" fillId="0" borderId="24" xfId="0" applyNumberFormat="1" applyFont="1" applyBorder="1" applyAlignment="1">
      <alignment horizontal="left"/>
    </xf>
    <xf numFmtId="164" fontId="1" fillId="0" borderId="15" xfId="0" applyNumberFormat="1" applyFont="1" applyBorder="1" applyAlignment="1">
      <alignment horizontal="left"/>
    </xf>
    <xf numFmtId="164" fontId="1" fillId="2" borderId="6" xfId="0" applyNumberFormat="1" applyFont="1" applyFill="1" applyBorder="1"/>
    <xf numFmtId="164" fontId="0" fillId="4" borderId="6" xfId="0" applyNumberFormat="1" applyFill="1" applyBorder="1"/>
    <xf numFmtId="164" fontId="0" fillId="3" borderId="6" xfId="0" applyNumberFormat="1" applyFill="1" applyBorder="1"/>
    <xf numFmtId="164" fontId="0" fillId="3" borderId="8" xfId="0" applyNumberFormat="1" applyFill="1" applyBorder="1"/>
    <xf numFmtId="164" fontId="0" fillId="3" borderId="9" xfId="0" applyNumberFormat="1" applyFill="1" applyBorder="1"/>
    <xf numFmtId="164" fontId="0" fillId="4" borderId="24" xfId="0" applyNumberFormat="1" applyFill="1" applyBorder="1"/>
    <xf numFmtId="164" fontId="0" fillId="4" borderId="15" xfId="0" applyNumberFormat="1" applyFill="1" applyBorder="1"/>
    <xf numFmtId="164" fontId="1" fillId="2" borderId="24" xfId="0" applyNumberFormat="1" applyFont="1" applyFill="1" applyBorder="1"/>
    <xf numFmtId="164" fontId="1" fillId="2" borderId="15" xfId="0" applyNumberFormat="1" applyFont="1" applyFill="1" applyBorder="1"/>
    <xf numFmtId="164" fontId="1" fillId="2" borderId="17" xfId="0" applyNumberFormat="1" applyFont="1" applyFill="1" applyBorder="1"/>
    <xf numFmtId="164" fontId="1" fillId="2" borderId="23" xfId="0" applyNumberFormat="1" applyFont="1" applyFill="1" applyBorder="1"/>
    <xf numFmtId="164" fontId="1" fillId="5" borderId="24" xfId="0" applyNumberFormat="1" applyFont="1" applyFill="1" applyBorder="1"/>
    <xf numFmtId="164" fontId="1" fillId="5" borderId="15" xfId="0" applyNumberFormat="1" applyFont="1" applyFill="1" applyBorder="1"/>
    <xf numFmtId="164" fontId="0" fillId="6" borderId="6" xfId="0" applyNumberFormat="1" applyFill="1" applyBorder="1"/>
    <xf numFmtId="164" fontId="0" fillId="7" borderId="6" xfId="0" applyNumberFormat="1" applyFill="1" applyBorder="1"/>
    <xf numFmtId="164" fontId="39" fillId="7" borderId="0" xfId="0" applyNumberFormat="1" applyFont="1" applyFill="1"/>
    <xf numFmtId="164" fontId="45" fillId="7" borderId="0" xfId="0" applyNumberFormat="1" applyFont="1" applyFill="1"/>
    <xf numFmtId="164" fontId="0" fillId="7" borderId="8" xfId="0" applyNumberFormat="1" applyFill="1" applyBorder="1"/>
    <xf numFmtId="164" fontId="39" fillId="7" borderId="9" xfId="0" applyNumberFormat="1" applyFont="1" applyFill="1" applyBorder="1"/>
    <xf numFmtId="164" fontId="0" fillId="6" borderId="24" xfId="0" applyNumberFormat="1" applyFill="1" applyBorder="1"/>
    <xf numFmtId="164" fontId="0" fillId="6" borderId="15" xfId="0" applyNumberFormat="1" applyFill="1" applyBorder="1"/>
    <xf numFmtId="164" fontId="9" fillId="6" borderId="15" xfId="0" applyNumberFormat="1" applyFont="1" applyFill="1" applyBorder="1"/>
    <xf numFmtId="164" fontId="39" fillId="6" borderId="15" xfId="0" applyNumberFormat="1" applyFont="1" applyFill="1" applyBorder="1"/>
    <xf numFmtId="164" fontId="1" fillId="7" borderId="6" xfId="0" applyNumberFormat="1" applyFont="1" applyFill="1" applyBorder="1"/>
    <xf numFmtId="164" fontId="4" fillId="5" borderId="24" xfId="0" applyNumberFormat="1" applyFont="1" applyFill="1" applyBorder="1"/>
    <xf numFmtId="164" fontId="4" fillId="5" borderId="15" xfId="0" applyNumberFormat="1" applyFont="1" applyFill="1" applyBorder="1"/>
    <xf numFmtId="164" fontId="4" fillId="2" borderId="6" xfId="0" applyNumberFormat="1" applyFont="1" applyFill="1" applyBorder="1"/>
    <xf numFmtId="164" fontId="4" fillId="11" borderId="8" xfId="0" applyNumberFormat="1" applyFont="1" applyFill="1" applyBorder="1"/>
    <xf numFmtId="164" fontId="4" fillId="11" borderId="9" xfId="0" applyNumberFormat="1" applyFont="1" applyFill="1" applyBorder="1"/>
    <xf numFmtId="164" fontId="1" fillId="0" borderId="27" xfId="0" applyNumberFormat="1" applyFont="1" applyBorder="1" applyAlignment="1">
      <alignment horizontal="left" wrapText="1"/>
    </xf>
    <xf numFmtId="164" fontId="1" fillId="2" borderId="10" xfId="0" applyNumberFormat="1" applyFont="1" applyFill="1" applyBorder="1"/>
    <xf numFmtId="164" fontId="0" fillId="4" borderId="10" xfId="0" applyNumberFormat="1" applyFill="1" applyBorder="1"/>
    <xf numFmtId="164" fontId="0" fillId="3" borderId="10" xfId="0" applyNumberFormat="1" applyFill="1" applyBorder="1"/>
    <xf numFmtId="164" fontId="0" fillId="3" borderId="14" xfId="0" applyNumberFormat="1" applyFill="1" applyBorder="1"/>
    <xf numFmtId="164" fontId="0" fillId="4" borderId="27" xfId="0" applyNumberFormat="1" applyFill="1" applyBorder="1"/>
    <xf numFmtId="164" fontId="1" fillId="2" borderId="27" xfId="0" applyNumberFormat="1" applyFont="1" applyFill="1" applyBorder="1"/>
    <xf numFmtId="164" fontId="1" fillId="2" borderId="11" xfId="0" applyNumberFormat="1" applyFont="1" applyFill="1" applyBorder="1"/>
    <xf numFmtId="164" fontId="1" fillId="5" borderId="27" xfId="0" applyNumberFormat="1" applyFont="1" applyFill="1" applyBorder="1"/>
    <xf numFmtId="164" fontId="0" fillId="6" borderId="10" xfId="0" applyNumberFormat="1" applyFill="1" applyBorder="1"/>
    <xf numFmtId="164" fontId="0" fillId="7" borderId="10" xfId="0" applyNumberFormat="1" applyFill="1" applyBorder="1"/>
    <xf numFmtId="164" fontId="0" fillId="7" borderId="14" xfId="0" applyNumberFormat="1" applyFill="1" applyBorder="1"/>
    <xf numFmtId="164" fontId="0" fillId="6" borderId="27" xfId="0" applyNumberFormat="1" applyFill="1" applyBorder="1"/>
    <xf numFmtId="164" fontId="1" fillId="7" borderId="10" xfId="0" applyNumberFormat="1" applyFont="1" applyFill="1" applyBorder="1"/>
    <xf numFmtId="164" fontId="4" fillId="5" borderId="27" xfId="0" applyNumberFormat="1" applyFont="1" applyFill="1" applyBorder="1"/>
    <xf numFmtId="164" fontId="4" fillId="2" borderId="10" xfId="0" applyNumberFormat="1" applyFont="1" applyFill="1" applyBorder="1"/>
    <xf numFmtId="164" fontId="4" fillId="11" borderId="14" xfId="0" applyNumberFormat="1" applyFont="1" applyFill="1" applyBorder="1"/>
    <xf numFmtId="164" fontId="1" fillId="2" borderId="28" xfId="0" applyNumberFormat="1" applyFont="1" applyFill="1" applyBorder="1"/>
    <xf numFmtId="164" fontId="0" fillId="4" borderId="28" xfId="0" applyNumberFormat="1" applyFill="1" applyBorder="1"/>
    <xf numFmtId="164" fontId="0" fillId="3" borderId="28" xfId="0" applyNumberFormat="1" applyFill="1" applyBorder="1"/>
    <xf numFmtId="164" fontId="0" fillId="0" borderId="28" xfId="0" applyNumberFormat="1" applyBorder="1"/>
    <xf numFmtId="164" fontId="9" fillId="0" borderId="28" xfId="0" applyNumberFormat="1" applyFont="1" applyBorder="1"/>
    <xf numFmtId="164" fontId="1" fillId="5" borderId="28" xfId="0" applyNumberFormat="1" applyFont="1" applyFill="1" applyBorder="1"/>
    <xf numFmtId="164" fontId="0" fillId="6" borderId="28" xfId="0" applyNumberFormat="1" applyFill="1" applyBorder="1"/>
    <xf numFmtId="164" fontId="0" fillId="7" borderId="28" xfId="0" applyNumberFormat="1" applyFill="1" applyBorder="1"/>
    <xf numFmtId="164" fontId="9" fillId="7" borderId="28" xfId="0" applyNumberFormat="1" applyFont="1" applyFill="1" applyBorder="1"/>
    <xf numFmtId="164" fontId="9" fillId="6" borderId="28" xfId="0" applyNumberFormat="1" applyFont="1" applyFill="1" applyBorder="1"/>
    <xf numFmtId="164" fontId="1" fillId="7" borderId="28" xfId="0" applyNumberFormat="1" applyFont="1" applyFill="1" applyBorder="1"/>
    <xf numFmtId="164" fontId="4" fillId="5" borderId="28" xfId="0" applyNumberFormat="1" applyFont="1" applyFill="1" applyBorder="1"/>
    <xf numFmtId="0" fontId="0" fillId="0" borderId="8" xfId="0" applyBorder="1"/>
    <xf numFmtId="0" fontId="0" fillId="0" borderId="26" xfId="0" applyBorder="1"/>
    <xf numFmtId="0" fontId="18" fillId="16" borderId="27" xfId="0" applyFont="1" applyFill="1" applyBorder="1" applyAlignment="1">
      <alignment horizontal="left" wrapText="1"/>
    </xf>
    <xf numFmtId="164" fontId="9" fillId="7" borderId="10" xfId="0" applyNumberFormat="1" applyFont="1" applyFill="1" applyBorder="1"/>
    <xf numFmtId="0" fontId="21" fillId="0" borderId="1" xfId="0" applyFont="1" applyBorder="1" applyAlignment="1">
      <alignment horizontal="center" vertical="center"/>
    </xf>
    <xf numFmtId="0" fontId="24" fillId="0" borderId="0" xfId="0" applyFont="1" applyAlignment="1">
      <alignment vertical="center"/>
    </xf>
    <xf numFmtId="0" fontId="51" fillId="0" borderId="0" xfId="0" applyFont="1"/>
    <xf numFmtId="0" fontId="52" fillId="0" borderId="0" xfId="9" applyFont="1"/>
    <xf numFmtId="0" fontId="10" fillId="0" borderId="0" xfId="9"/>
    <xf numFmtId="1" fontId="0" fillId="0" borderId="0" xfId="0" applyNumberFormat="1"/>
    <xf numFmtId="0" fontId="53" fillId="0" borderId="0" xfId="0" applyFont="1"/>
    <xf numFmtId="1" fontId="51" fillId="0" borderId="0" xfId="0" applyNumberFormat="1" applyFont="1"/>
    <xf numFmtId="1" fontId="52" fillId="0" borderId="0" xfId="9" applyNumberFormat="1" applyFont="1"/>
    <xf numFmtId="1" fontId="54" fillId="0" borderId="0" xfId="9" applyNumberFormat="1" applyFont="1"/>
    <xf numFmtId="0" fontId="54" fillId="0" borderId="0" xfId="9" applyFont="1"/>
    <xf numFmtId="0" fontId="55" fillId="0" borderId="0" xfId="9" applyFont="1"/>
    <xf numFmtId="0" fontId="0" fillId="0" borderId="24" xfId="0" applyBorder="1" applyAlignment="1">
      <alignment vertical="center"/>
    </xf>
    <xf numFmtId="0" fontId="0" fillId="0" borderId="15" xfId="0" applyBorder="1" applyAlignment="1">
      <alignment vertical="center"/>
    </xf>
    <xf numFmtId="0" fontId="21" fillId="0" borderId="32" xfId="0" applyFont="1" applyBorder="1" applyAlignment="1">
      <alignment horizontal="center" vertical="center"/>
    </xf>
    <xf numFmtId="0" fontId="21" fillId="0" borderId="20" xfId="0" applyFont="1" applyBorder="1" applyAlignment="1">
      <alignment horizontal="center" vertical="center"/>
    </xf>
    <xf numFmtId="0" fontId="0" fillId="0" borderId="6" xfId="0" applyBorder="1" applyAlignment="1">
      <alignment vertical="center"/>
    </xf>
    <xf numFmtId="0" fontId="1" fillId="0" borderId="6" xfId="0" applyFont="1" applyBorder="1" applyAlignment="1">
      <alignment vertical="center"/>
    </xf>
    <xf numFmtId="0" fontId="0" fillId="0" borderId="34" xfId="0" applyBorder="1" applyAlignment="1">
      <alignment vertical="center"/>
    </xf>
    <xf numFmtId="0" fontId="0" fillId="0" borderId="17" xfId="0" applyBorder="1" applyAlignment="1">
      <alignment vertical="center"/>
    </xf>
    <xf numFmtId="0" fontId="0" fillId="0" borderId="25" xfId="0" applyBorder="1" applyAlignment="1">
      <alignment vertical="center"/>
    </xf>
    <xf numFmtId="0" fontId="1" fillId="0" borderId="11" xfId="0" applyFont="1" applyBorder="1" applyAlignment="1">
      <alignment vertical="center"/>
    </xf>
    <xf numFmtId="164" fontId="24" fillId="0" borderId="11" xfId="0" applyNumberFormat="1" applyFont="1" applyBorder="1" applyAlignment="1">
      <alignment horizontal="right" vertical="center"/>
    </xf>
    <xf numFmtId="164" fontId="24" fillId="0" borderId="25" xfId="0" applyNumberFormat="1" applyFont="1" applyBorder="1" applyAlignment="1">
      <alignment vertical="center"/>
    </xf>
    <xf numFmtId="164" fontId="24" fillId="0" borderId="11" xfId="0" applyNumberFormat="1" applyFont="1" applyBorder="1" applyAlignment="1">
      <alignment vertical="center"/>
    </xf>
    <xf numFmtId="164" fontId="25" fillId="0" borderId="0" xfId="0" applyNumberFormat="1" applyFont="1" applyAlignment="1">
      <alignment horizontal="right" vertical="center"/>
    </xf>
    <xf numFmtId="164" fontId="19" fillId="0" borderId="0" xfId="0" applyNumberFormat="1" applyFont="1" applyAlignment="1">
      <alignment horizontal="right" vertical="center"/>
    </xf>
    <xf numFmtId="164" fontId="24" fillId="0" borderId="0" xfId="0" applyNumberFormat="1" applyFont="1" applyAlignment="1">
      <alignment horizontal="right" vertical="center"/>
    </xf>
    <xf numFmtId="0" fontId="30" fillId="0" borderId="24" xfId="8" applyBorder="1" applyAlignment="1">
      <alignment vertical="center"/>
    </xf>
    <xf numFmtId="0" fontId="56" fillId="0" borderId="16" xfId="8" applyFont="1" applyBorder="1" applyAlignment="1">
      <alignment vertical="center"/>
    </xf>
    <xf numFmtId="0" fontId="30" fillId="0" borderId="27" xfId="8" applyBorder="1" applyAlignment="1">
      <alignment vertical="center"/>
    </xf>
    <xf numFmtId="164" fontId="25" fillId="0" borderId="27" xfId="0" applyNumberFormat="1" applyFont="1" applyBorder="1" applyAlignment="1">
      <alignment vertical="center"/>
    </xf>
    <xf numFmtId="164" fontId="9" fillId="0" borderId="27" xfId="0" applyNumberFormat="1" applyFont="1" applyBorder="1" applyAlignment="1">
      <alignment vertical="center"/>
    </xf>
    <xf numFmtId="0" fontId="30" fillId="0" borderId="8" xfId="8" applyBorder="1" applyAlignment="1">
      <alignment vertical="center"/>
    </xf>
    <xf numFmtId="0" fontId="30" fillId="0" borderId="26" xfId="8" applyBorder="1" applyAlignment="1">
      <alignment vertical="center"/>
    </xf>
    <xf numFmtId="0" fontId="30" fillId="0" borderId="14" xfId="8" applyBorder="1" applyAlignment="1">
      <alignment vertical="center"/>
    </xf>
    <xf numFmtId="8" fontId="25" fillId="0" borderId="14" xfId="0" applyNumberFormat="1" applyFont="1" applyBorder="1" applyAlignment="1">
      <alignment vertical="center"/>
    </xf>
    <xf numFmtId="8" fontId="24" fillId="0" borderId="14" xfId="0" applyNumberFormat="1" applyFont="1" applyBorder="1" applyAlignment="1">
      <alignment vertical="center"/>
    </xf>
    <xf numFmtId="0" fontId="30" fillId="0" borderId="0" xfId="8" applyAlignment="1">
      <alignment vertical="center"/>
    </xf>
    <xf numFmtId="0" fontId="0" fillId="0" borderId="16" xfId="0" applyBorder="1" applyAlignment="1">
      <alignment vertical="center"/>
    </xf>
    <xf numFmtId="0" fontId="24" fillId="0" borderId="36" xfId="0" applyFont="1" applyBorder="1" applyAlignment="1">
      <alignment vertical="center"/>
    </xf>
    <xf numFmtId="0" fontId="30" fillId="0" borderId="17" xfId="8" applyBorder="1" applyAlignment="1">
      <alignment vertical="center"/>
    </xf>
    <xf numFmtId="0" fontId="30" fillId="0" borderId="25" xfId="8" applyBorder="1" applyAlignment="1">
      <alignment vertical="center"/>
    </xf>
    <xf numFmtId="164" fontId="25" fillId="0" borderId="11" xfId="0" applyNumberFormat="1" applyFont="1" applyBorder="1" applyAlignment="1">
      <alignment horizontal="right" vertical="center"/>
    </xf>
    <xf numFmtId="164" fontId="25" fillId="0" borderId="22" xfId="0" applyNumberFormat="1" applyFont="1" applyBorder="1" applyAlignment="1">
      <alignment vertical="center"/>
    </xf>
    <xf numFmtId="164" fontId="25" fillId="11" borderId="31" xfId="0" applyNumberFormat="1" applyFont="1" applyFill="1" applyBorder="1" applyAlignment="1">
      <alignment vertical="center"/>
    </xf>
    <xf numFmtId="0" fontId="0" fillId="0" borderId="37" xfId="0" applyBorder="1" applyAlignment="1">
      <alignment vertical="center"/>
    </xf>
    <xf numFmtId="164" fontId="25" fillId="0" borderId="31" xfId="0" applyNumberFormat="1" applyFont="1" applyBorder="1" applyAlignment="1">
      <alignment horizontal="right" vertical="center"/>
    </xf>
    <xf numFmtId="164" fontId="9" fillId="0" borderId="38" xfId="0" applyNumberFormat="1" applyFont="1" applyBorder="1" applyAlignment="1">
      <alignment vertical="center"/>
    </xf>
    <xf numFmtId="164" fontId="9" fillId="0" borderId="37" xfId="0" applyNumberFormat="1" applyFont="1" applyBorder="1" applyAlignment="1">
      <alignment vertical="center"/>
    </xf>
    <xf numFmtId="0" fontId="0" fillId="0" borderId="35" xfId="0" applyBorder="1" applyAlignment="1">
      <alignment vertical="center"/>
    </xf>
    <xf numFmtId="164" fontId="25" fillId="17" borderId="12" xfId="0" applyNumberFormat="1" applyFont="1" applyFill="1" applyBorder="1" applyAlignment="1">
      <alignment horizontal="right" vertical="center"/>
    </xf>
    <xf numFmtId="164" fontId="0" fillId="17" borderId="13" xfId="0" applyNumberFormat="1" applyFill="1" applyBorder="1" applyAlignment="1">
      <alignment horizontal="right" vertical="center"/>
    </xf>
    <xf numFmtId="164" fontId="25" fillId="17" borderId="11" xfId="0" applyNumberFormat="1" applyFont="1" applyFill="1" applyBorder="1" applyAlignment="1">
      <alignment horizontal="right" vertical="center"/>
    </xf>
    <xf numFmtId="164" fontId="9" fillId="17" borderId="38" xfId="0" applyNumberFormat="1" applyFont="1" applyFill="1" applyBorder="1" applyAlignment="1">
      <alignment vertical="center"/>
    </xf>
    <xf numFmtId="164" fontId="9" fillId="17" borderId="37" xfId="0" applyNumberFormat="1" applyFont="1" applyFill="1" applyBorder="1" applyAlignment="1">
      <alignment vertical="center"/>
    </xf>
    <xf numFmtId="164" fontId="9" fillId="17" borderId="34" xfId="0" applyNumberFormat="1" applyFont="1" applyFill="1" applyBorder="1" applyAlignment="1">
      <alignment horizontal="right" vertical="center"/>
    </xf>
    <xf numFmtId="0" fontId="1" fillId="17" borderId="30" xfId="0" applyFont="1" applyFill="1" applyBorder="1" applyAlignment="1">
      <alignment vertical="center"/>
    </xf>
    <xf numFmtId="0" fontId="1" fillId="17" borderId="33" xfId="0" applyFont="1" applyFill="1" applyBorder="1" applyAlignment="1">
      <alignment vertical="center"/>
    </xf>
    <xf numFmtId="0" fontId="1" fillId="17" borderId="17" xfId="0" applyFont="1" applyFill="1" applyBorder="1" applyAlignment="1">
      <alignment vertical="center"/>
    </xf>
    <xf numFmtId="0" fontId="1" fillId="17" borderId="39" xfId="0" applyFont="1" applyFill="1" applyBorder="1" applyAlignment="1">
      <alignment vertical="center"/>
    </xf>
    <xf numFmtId="0" fontId="1" fillId="17" borderId="40" xfId="0" applyFont="1" applyFill="1" applyBorder="1" applyAlignment="1">
      <alignment vertical="center"/>
    </xf>
    <xf numFmtId="0" fontId="1" fillId="17" borderId="18" xfId="0" applyFont="1" applyFill="1" applyBorder="1" applyAlignment="1">
      <alignment vertical="center"/>
    </xf>
    <xf numFmtId="0" fontId="13" fillId="0" borderId="34" xfId="0" applyFont="1" applyBorder="1" applyAlignment="1">
      <alignment vertical="center"/>
    </xf>
    <xf numFmtId="8" fontId="25" fillId="0" borderId="0" xfId="0" applyNumberFormat="1" applyFont="1" applyAlignment="1">
      <alignment vertical="center"/>
    </xf>
    <xf numFmtId="8" fontId="24" fillId="0" borderId="0" xfId="0" applyNumberFormat="1" applyFont="1" applyAlignment="1">
      <alignment vertical="center"/>
    </xf>
    <xf numFmtId="164" fontId="9" fillId="7" borderId="14" xfId="0" applyNumberFormat="1" applyFont="1" applyFill="1" applyBorder="1"/>
    <xf numFmtId="14" fontId="18" fillId="16" borderId="28" xfId="0" applyNumberFormat="1" applyFont="1" applyFill="1" applyBorder="1" applyAlignment="1">
      <alignment horizontal="left" wrapText="1"/>
    </xf>
    <xf numFmtId="0" fontId="0" fillId="11" borderId="0" xfId="0" applyFill="1" applyAlignment="1">
      <alignment horizontal="right"/>
    </xf>
    <xf numFmtId="0" fontId="61" fillId="0" borderId="0" xfId="0" applyFont="1"/>
    <xf numFmtId="167" fontId="0" fillId="0" borderId="0" xfId="0" applyNumberFormat="1"/>
    <xf numFmtId="164" fontId="21" fillId="0" borderId="0" xfId="0" applyNumberFormat="1" applyFont="1"/>
    <xf numFmtId="0" fontId="33" fillId="0" borderId="0" xfId="0" applyFont="1"/>
    <xf numFmtId="167" fontId="33" fillId="0" borderId="0" xfId="0" applyNumberFormat="1" applyFont="1"/>
    <xf numFmtId="167" fontId="21" fillId="0" borderId="0" xfId="0" applyNumberFormat="1" applyFont="1"/>
    <xf numFmtId="0" fontId="63" fillId="0" borderId="0" xfId="0" applyFont="1"/>
    <xf numFmtId="14" fontId="33" fillId="0" borderId="0" xfId="0" applyNumberFormat="1" applyFont="1"/>
    <xf numFmtId="164" fontId="33" fillId="0" borderId="0" xfId="0" applyNumberFormat="1" applyFont="1"/>
    <xf numFmtId="14" fontId="0" fillId="0" borderId="0" xfId="0" applyNumberFormat="1"/>
    <xf numFmtId="0" fontId="21" fillId="0" borderId="0" xfId="0" applyFont="1"/>
    <xf numFmtId="0" fontId="33" fillId="0" borderId="41" xfId="0" applyFont="1" applyBorder="1"/>
    <xf numFmtId="0" fontId="21" fillId="0" borderId="42" xfId="0" applyFont="1" applyBorder="1"/>
    <xf numFmtId="164" fontId="21" fillId="0" borderId="42" xfId="0" applyNumberFormat="1" applyFont="1" applyBorder="1"/>
    <xf numFmtId="164" fontId="21" fillId="0" borderId="40" xfId="0" applyNumberFormat="1" applyFont="1" applyBorder="1"/>
    <xf numFmtId="164" fontId="33" fillId="0" borderId="43" xfId="0" applyNumberFormat="1" applyFont="1" applyBorder="1"/>
    <xf numFmtId="0" fontId="33" fillId="0" borderId="43" xfId="0" applyFont="1" applyBorder="1"/>
    <xf numFmtId="164" fontId="21" fillId="0" borderId="25" xfId="0" applyNumberFormat="1" applyFont="1" applyBorder="1"/>
    <xf numFmtId="164" fontId="24" fillId="0" borderId="18" xfId="0" applyNumberFormat="1" applyFont="1" applyBorder="1" applyAlignment="1">
      <alignment vertical="center"/>
    </xf>
    <xf numFmtId="164" fontId="24" fillId="0" borderId="27" xfId="0" applyNumberFormat="1" applyFont="1" applyBorder="1" applyAlignment="1">
      <alignment vertical="center"/>
    </xf>
    <xf numFmtId="164" fontId="1" fillId="0" borderId="18" xfId="0" applyNumberFormat="1" applyFont="1" applyBorder="1" applyAlignment="1">
      <alignment vertical="center"/>
    </xf>
    <xf numFmtId="0" fontId="1" fillId="0" borderId="44" xfId="0" applyFont="1" applyBorder="1" applyAlignment="1">
      <alignment vertical="center"/>
    </xf>
    <xf numFmtId="164" fontId="12" fillId="2" borderId="11" xfId="0" applyNumberFormat="1" applyFont="1" applyFill="1" applyBorder="1"/>
    <xf numFmtId="164" fontId="12" fillId="2" borderId="0" xfId="0" applyNumberFormat="1" applyFont="1" applyFill="1"/>
    <xf numFmtId="164" fontId="12" fillId="11" borderId="0" xfId="0" applyNumberFormat="1" applyFont="1" applyFill="1"/>
    <xf numFmtId="0" fontId="1" fillId="0" borderId="24" xfId="0" applyFont="1" applyBorder="1" applyAlignment="1">
      <alignment vertical="center"/>
    </xf>
    <xf numFmtId="164" fontId="12" fillId="2" borderId="28" xfId="0" applyNumberFormat="1" applyFont="1" applyFill="1" applyBorder="1"/>
    <xf numFmtId="164" fontId="12" fillId="11" borderId="29" xfId="0" applyNumberFormat="1" applyFont="1" applyFill="1" applyBorder="1"/>
    <xf numFmtId="0" fontId="20" fillId="0" borderId="45" xfId="0" applyFont="1" applyBorder="1" applyAlignment="1">
      <alignment horizontal="center" vertical="center"/>
    </xf>
    <xf numFmtId="0" fontId="20" fillId="0" borderId="0" xfId="0" applyFont="1" applyAlignment="1">
      <alignment horizontal="center" vertical="center"/>
    </xf>
    <xf numFmtId="0" fontId="21" fillId="0" borderId="16" xfId="0" applyFont="1" applyBorder="1" applyAlignment="1">
      <alignment horizontal="center" vertical="center"/>
    </xf>
    <xf numFmtId="0" fontId="21" fillId="0" borderId="7" xfId="0" applyFont="1" applyBorder="1" applyAlignment="1">
      <alignment horizontal="center" vertical="center"/>
    </xf>
    <xf numFmtId="40" fontId="24" fillId="11" borderId="46" xfId="0" applyNumberFormat="1" applyFont="1" applyFill="1" applyBorder="1" applyAlignment="1">
      <alignment vertical="center"/>
    </xf>
    <xf numFmtId="0" fontId="21" fillId="0" borderId="47" xfId="0" applyFont="1" applyBorder="1" applyAlignment="1">
      <alignment horizontal="center" vertical="center"/>
    </xf>
    <xf numFmtId="0" fontId="22" fillId="0" borderId="48" xfId="0" applyFont="1" applyBorder="1" applyAlignment="1">
      <alignment horizontal="center" vertical="center"/>
    </xf>
    <xf numFmtId="0" fontId="22" fillId="0" borderId="49" xfId="0" applyFont="1" applyBorder="1" applyAlignment="1">
      <alignment horizontal="center" vertical="center"/>
    </xf>
    <xf numFmtId="0" fontId="22" fillId="0" borderId="50" xfId="0" applyFont="1" applyBorder="1" applyAlignment="1">
      <alignment horizontal="center" vertical="center"/>
    </xf>
    <xf numFmtId="0" fontId="21" fillId="0" borderId="49" xfId="0" applyFont="1" applyBorder="1" applyAlignment="1">
      <alignment horizontal="center" vertical="center"/>
    </xf>
    <xf numFmtId="14" fontId="21" fillId="0" borderId="51" xfId="0" applyNumberFormat="1" applyFont="1" applyBorder="1" applyAlignment="1">
      <alignment horizontal="center" vertical="center"/>
    </xf>
    <xf numFmtId="164" fontId="21" fillId="14" borderId="51" xfId="0" applyNumberFormat="1" applyFont="1" applyFill="1" applyBorder="1" applyAlignment="1">
      <alignment vertical="center"/>
    </xf>
    <xf numFmtId="40" fontId="24" fillId="11" borderId="52" xfId="0" applyNumberFormat="1" applyFont="1" applyFill="1" applyBorder="1" applyAlignment="1">
      <alignment vertical="center"/>
    </xf>
    <xf numFmtId="40" fontId="24" fillId="11" borderId="53" xfId="0" applyNumberFormat="1" applyFont="1" applyFill="1" applyBorder="1" applyAlignment="1">
      <alignment vertical="center"/>
    </xf>
    <xf numFmtId="14" fontId="50" fillId="0" borderId="51" xfId="0" applyNumberFormat="1" applyFont="1" applyBorder="1" applyAlignment="1">
      <alignment horizontal="center" vertical="center" wrapText="1"/>
    </xf>
    <xf numFmtId="164" fontId="12" fillId="14" borderId="51" xfId="0" applyNumberFormat="1" applyFont="1" applyFill="1" applyBorder="1" applyAlignment="1">
      <alignment vertical="center"/>
    </xf>
    <xf numFmtId="164" fontId="13" fillId="0" borderId="0" xfId="0" applyNumberFormat="1" applyFont="1"/>
    <xf numFmtId="164" fontId="1" fillId="4" borderId="27" xfId="0" applyNumberFormat="1" applyFont="1" applyFill="1" applyBorder="1"/>
    <xf numFmtId="164" fontId="9" fillId="6" borderId="27" xfId="0" applyNumberFormat="1" applyFont="1" applyFill="1" applyBorder="1"/>
    <xf numFmtId="164" fontId="9" fillId="0" borderId="43" xfId="0" applyNumberFormat="1" applyFont="1" applyBorder="1" applyAlignment="1">
      <alignment vertical="center"/>
    </xf>
    <xf numFmtId="164" fontId="9" fillId="0" borderId="33" xfId="0" applyNumberFormat="1" applyFont="1" applyBorder="1" applyAlignment="1">
      <alignment vertical="center"/>
    </xf>
    <xf numFmtId="164" fontId="25" fillId="0" borderId="41" xfId="0" applyNumberFormat="1" applyFont="1" applyBorder="1" applyAlignment="1">
      <alignment horizontal="right" vertical="center"/>
    </xf>
    <xf numFmtId="164" fontId="24" fillId="0" borderId="42" xfId="0" applyNumberFormat="1" applyFont="1" applyBorder="1" applyAlignment="1">
      <alignment horizontal="right" vertical="center"/>
    </xf>
    <xf numFmtId="164" fontId="25" fillId="0" borderId="42" xfId="0" applyNumberFormat="1" applyFont="1" applyBorder="1" applyAlignment="1">
      <alignment horizontal="right" vertical="center"/>
    </xf>
    <xf numFmtId="164" fontId="24" fillId="0" borderId="42" xfId="0" applyNumberFormat="1" applyFont="1" applyBorder="1" applyAlignment="1">
      <alignment vertical="center"/>
    </xf>
    <xf numFmtId="164" fontId="24" fillId="0" borderId="40" xfId="0" applyNumberFormat="1" applyFont="1" applyBorder="1" applyAlignment="1">
      <alignment vertical="center"/>
    </xf>
    <xf numFmtId="164" fontId="24" fillId="0" borderId="39" xfId="0" applyNumberFormat="1" applyFont="1" applyBorder="1" applyAlignment="1">
      <alignment vertical="center"/>
    </xf>
    <xf numFmtId="164" fontId="25" fillId="0" borderId="40" xfId="0" applyNumberFormat="1" applyFont="1" applyBorder="1" applyAlignment="1">
      <alignment horizontal="right" vertical="center"/>
    </xf>
    <xf numFmtId="164" fontId="9" fillId="0" borderId="21" xfId="0" applyNumberFormat="1" applyFont="1" applyBorder="1" applyAlignment="1">
      <alignment vertical="center"/>
    </xf>
    <xf numFmtId="8" fontId="24" fillId="0" borderId="13" xfId="0" applyNumberFormat="1" applyFont="1" applyBorder="1" applyAlignment="1">
      <alignment vertical="center"/>
    </xf>
    <xf numFmtId="0" fontId="20" fillId="0" borderId="27" xfId="0" applyFont="1" applyBorder="1" applyAlignment="1">
      <alignment horizontal="center" vertical="center"/>
    </xf>
    <xf numFmtId="0" fontId="20" fillId="0" borderId="10" xfId="0" applyFont="1" applyBorder="1" applyAlignment="1">
      <alignment horizontal="center" vertical="center"/>
    </xf>
    <xf numFmtId="14" fontId="65" fillId="0" borderId="14" xfId="0" applyNumberFormat="1" applyFont="1" applyBorder="1" applyAlignment="1">
      <alignment horizontal="center" vertical="center" wrapText="1"/>
    </xf>
    <xf numFmtId="164" fontId="25" fillId="0" borderId="19" xfId="0" applyNumberFormat="1" applyFont="1" applyBorder="1" applyAlignment="1">
      <alignment vertical="center"/>
    </xf>
    <xf numFmtId="164" fontId="24" fillId="0" borderId="20" xfId="0" applyNumberFormat="1" applyFont="1" applyBorder="1" applyAlignment="1">
      <alignment vertical="center"/>
    </xf>
    <xf numFmtId="164" fontId="25" fillId="0" borderId="20" xfId="0" applyNumberFormat="1" applyFont="1" applyBorder="1" applyAlignment="1">
      <alignment vertical="center"/>
    </xf>
    <xf numFmtId="164" fontId="9" fillId="0" borderId="20" xfId="0" applyNumberFormat="1" applyFont="1" applyBorder="1" applyAlignment="1">
      <alignment vertical="center"/>
    </xf>
    <xf numFmtId="8" fontId="24" fillId="0" borderId="54" xfId="0" applyNumberFormat="1" applyFont="1" applyBorder="1" applyAlignment="1">
      <alignment vertical="center"/>
    </xf>
    <xf numFmtId="0" fontId="11" fillId="0" borderId="17" xfId="8" applyFont="1" applyBorder="1" applyAlignment="1">
      <alignment vertical="center"/>
    </xf>
    <xf numFmtId="164" fontId="38" fillId="0" borderId="20" xfId="0" applyNumberFormat="1" applyFont="1" applyBorder="1" applyAlignment="1">
      <alignment vertical="center"/>
    </xf>
    <xf numFmtId="164" fontId="38" fillId="0" borderId="21" xfId="0" applyNumberFormat="1" applyFont="1" applyBorder="1" applyAlignment="1">
      <alignment vertical="center"/>
    </xf>
    <xf numFmtId="164" fontId="37" fillId="0" borderId="3" xfId="0" applyNumberFormat="1" applyFont="1" applyBorder="1" applyAlignment="1">
      <alignment horizontal="right" vertical="center"/>
    </xf>
    <xf numFmtId="164" fontId="37" fillId="0" borderId="4" xfId="0" applyNumberFormat="1" applyFont="1" applyBorder="1" applyAlignment="1">
      <alignment horizontal="right" vertical="center"/>
    </xf>
    <xf numFmtId="164" fontId="24" fillId="0" borderId="4" xfId="0" applyNumberFormat="1" applyFont="1" applyBorder="1" applyAlignment="1">
      <alignment horizontal="right" vertical="center"/>
    </xf>
    <xf numFmtId="164" fontId="24" fillId="0" borderId="5" xfId="0" applyNumberFormat="1" applyFont="1" applyBorder="1" applyAlignment="1">
      <alignment horizontal="right" vertical="center"/>
    </xf>
    <xf numFmtId="8" fontId="24" fillId="0" borderId="12" xfId="0" applyNumberFormat="1" applyFont="1" applyBorder="1" applyAlignment="1">
      <alignment vertical="center"/>
    </xf>
    <xf numFmtId="164" fontId="9" fillId="0" borderId="32" xfId="0" applyNumberFormat="1" applyFont="1" applyBorder="1" applyAlignment="1">
      <alignment vertical="center"/>
    </xf>
    <xf numFmtId="8" fontId="24" fillId="0" borderId="55" xfId="0" applyNumberFormat="1" applyFont="1" applyBorder="1" applyAlignment="1">
      <alignment vertical="center"/>
    </xf>
    <xf numFmtId="164" fontId="25" fillId="0" borderId="21" xfId="0" applyNumberFormat="1" applyFont="1" applyBorder="1" applyAlignment="1">
      <alignment vertical="center"/>
    </xf>
    <xf numFmtId="8" fontId="25" fillId="0" borderId="13" xfId="0" applyNumberFormat="1" applyFont="1" applyBorder="1" applyAlignment="1">
      <alignment vertical="center"/>
    </xf>
    <xf numFmtId="164" fontId="24" fillId="0" borderId="32" xfId="0" applyNumberFormat="1" applyFont="1" applyBorder="1" applyAlignment="1">
      <alignment vertical="center"/>
    </xf>
    <xf numFmtId="164" fontId="24" fillId="0" borderId="1" xfId="0" applyNumberFormat="1" applyFont="1" applyBorder="1" applyAlignment="1">
      <alignment horizontal="right" vertical="center"/>
    </xf>
    <xf numFmtId="14" fontId="23" fillId="0" borderId="14" xfId="0" applyNumberFormat="1" applyFont="1" applyBorder="1" applyAlignment="1">
      <alignment horizontal="center" vertical="center" wrapText="1"/>
    </xf>
    <xf numFmtId="0" fontId="22" fillId="0" borderId="0" xfId="0" applyFont="1" applyAlignment="1">
      <alignment horizontal="center" vertical="center"/>
    </xf>
    <xf numFmtId="0" fontId="21" fillId="0" borderId="56" xfId="0" applyFont="1" applyBorder="1" applyAlignment="1">
      <alignment horizontal="center" vertical="center"/>
    </xf>
    <xf numFmtId="0" fontId="21" fillId="0" borderId="2" xfId="0" applyFont="1" applyBorder="1" applyAlignment="1">
      <alignment horizontal="center" vertical="center"/>
    </xf>
    <xf numFmtId="40" fontId="24" fillId="11" borderId="57" xfId="0" applyNumberFormat="1" applyFont="1" applyFill="1" applyBorder="1" applyAlignment="1">
      <alignment vertical="center"/>
    </xf>
    <xf numFmtId="0" fontId="21" fillId="0" borderId="27" xfId="0" applyFont="1" applyBorder="1" applyAlignment="1">
      <alignment horizontal="center" vertical="center"/>
    </xf>
    <xf numFmtId="0" fontId="22" fillId="0" borderId="10" xfId="0" applyFont="1" applyBorder="1" applyAlignment="1">
      <alignment horizontal="center" vertical="center"/>
    </xf>
    <xf numFmtId="0" fontId="21" fillId="0" borderId="10" xfId="0" applyFont="1" applyBorder="1" applyAlignment="1">
      <alignment horizontal="center" vertical="center"/>
    </xf>
    <xf numFmtId="40" fontId="24" fillId="11" borderId="31" xfId="0" applyNumberFormat="1" applyFont="1" applyFill="1" applyBorder="1" applyAlignment="1">
      <alignment vertical="center"/>
    </xf>
    <xf numFmtId="40" fontId="24" fillId="11" borderId="34" xfId="0" applyNumberFormat="1" applyFont="1" applyFill="1" applyBorder="1" applyAlignment="1">
      <alignment vertical="center"/>
    </xf>
    <xf numFmtId="164" fontId="1" fillId="0" borderId="0" xfId="0" applyNumberFormat="1" applyFont="1" applyAlignment="1" applyProtection="1">
      <alignment vertical="center"/>
      <protection locked="0"/>
    </xf>
    <xf numFmtId="164" fontId="9" fillId="9" borderId="3" xfId="0" applyNumberFormat="1" applyFont="1" applyFill="1" applyBorder="1" applyAlignment="1">
      <alignment vertical="center"/>
    </xf>
    <xf numFmtId="164" fontId="9" fillId="9" borderId="5" xfId="0" applyNumberFormat="1" applyFont="1" applyFill="1" applyBorder="1" applyAlignment="1">
      <alignment vertical="center"/>
    </xf>
    <xf numFmtId="40" fontId="24" fillId="11" borderId="35" xfId="0" applyNumberFormat="1" applyFont="1" applyFill="1" applyBorder="1" applyAlignment="1">
      <alignment vertical="center"/>
    </xf>
    <xf numFmtId="164" fontId="1" fillId="0" borderId="24" xfId="0" applyNumberFormat="1" applyFont="1" applyBorder="1" applyAlignment="1">
      <alignment horizontal="left" wrapText="1"/>
    </xf>
    <xf numFmtId="164" fontId="0" fillId="6" borderId="7" xfId="0" applyNumberFormat="1" applyFill="1" applyBorder="1"/>
    <xf numFmtId="164" fontId="4" fillId="11" borderId="29" xfId="0" applyNumberFormat="1" applyFont="1" applyFill="1" applyBorder="1"/>
    <xf numFmtId="164" fontId="25" fillId="0" borderId="18" xfId="0" applyNumberFormat="1" applyFont="1" applyBorder="1" applyAlignment="1">
      <alignment horizontal="right" vertical="center"/>
    </xf>
    <xf numFmtId="164" fontId="25" fillId="0" borderId="34" xfId="0" applyNumberFormat="1" applyFont="1" applyBorder="1" applyAlignment="1">
      <alignment horizontal="right" vertical="center"/>
    </xf>
    <xf numFmtId="164" fontId="25" fillId="0" borderId="58" xfId="0" applyNumberFormat="1" applyFont="1" applyBorder="1" applyAlignment="1">
      <alignment horizontal="right" vertical="center"/>
    </xf>
    <xf numFmtId="164" fontId="25" fillId="0" borderId="59" xfId="0" applyNumberFormat="1" applyFont="1" applyBorder="1" applyAlignment="1">
      <alignment horizontal="right" vertical="center"/>
    </xf>
    <xf numFmtId="164" fontId="25" fillId="0" borderId="60" xfId="0" applyNumberFormat="1" applyFont="1" applyBorder="1" applyAlignment="1">
      <alignment horizontal="right" vertical="center"/>
    </xf>
    <xf numFmtId="164" fontId="25" fillId="0" borderId="46" xfId="0" applyNumberFormat="1" applyFont="1" applyBorder="1" applyAlignment="1">
      <alignment horizontal="right" vertical="center"/>
    </xf>
    <xf numFmtId="164" fontId="25" fillId="0" borderId="30" xfId="0" applyNumberFormat="1" applyFont="1" applyBorder="1" applyAlignment="1">
      <alignment vertical="center"/>
    </xf>
    <xf numFmtId="164" fontId="25" fillId="11" borderId="58" xfId="0" applyNumberFormat="1" applyFont="1" applyFill="1" applyBorder="1" applyAlignment="1">
      <alignment vertical="center"/>
    </xf>
    <xf numFmtId="164" fontId="25" fillId="0" borderId="61" xfId="0" applyNumberFormat="1" applyFont="1" applyBorder="1" applyAlignment="1">
      <alignment vertical="center"/>
    </xf>
    <xf numFmtId="164" fontId="25" fillId="0" borderId="18" xfId="0" applyNumberFormat="1" applyFont="1" applyBorder="1" applyAlignment="1">
      <alignment vertical="center"/>
    </xf>
    <xf numFmtId="164" fontId="25" fillId="0" borderId="63" xfId="0" applyNumberFormat="1" applyFont="1" applyBorder="1" applyAlignment="1">
      <alignment vertical="center"/>
    </xf>
    <xf numFmtId="164" fontId="37" fillId="0" borderId="2" xfId="0" applyNumberFormat="1" applyFont="1" applyBorder="1" applyAlignment="1">
      <alignment horizontal="right" vertical="center"/>
    </xf>
    <xf numFmtId="8" fontId="24" fillId="0" borderId="62" xfId="0" applyNumberFormat="1" applyFont="1" applyBorder="1" applyAlignment="1">
      <alignment vertical="center"/>
    </xf>
    <xf numFmtId="164" fontId="25" fillId="0" borderId="15" xfId="0" applyNumberFormat="1" applyFont="1" applyBorder="1" applyAlignment="1">
      <alignment vertical="center"/>
    </xf>
    <xf numFmtId="8" fontId="25" fillId="0" borderId="9" xfId="0" applyNumberFormat="1" applyFont="1" applyBorder="1" applyAlignment="1">
      <alignment vertical="center"/>
    </xf>
    <xf numFmtId="164" fontId="25" fillId="0" borderId="16" xfId="0" applyNumberFormat="1" applyFont="1" applyBorder="1" applyAlignment="1">
      <alignment vertical="center"/>
    </xf>
    <xf numFmtId="8" fontId="25" fillId="0" borderId="26" xfId="0" applyNumberFormat="1" applyFont="1" applyBorder="1" applyAlignment="1">
      <alignment vertical="center"/>
    </xf>
    <xf numFmtId="164" fontId="25" fillId="0" borderId="24" xfId="0" applyNumberFormat="1" applyFont="1" applyBorder="1" applyAlignment="1">
      <alignment vertical="center"/>
    </xf>
    <xf numFmtId="8" fontId="25" fillId="0" borderId="8" xfId="0" applyNumberFormat="1" applyFont="1" applyBorder="1" applyAlignment="1">
      <alignment vertical="center"/>
    </xf>
    <xf numFmtId="164" fontId="24" fillId="0" borderId="15" xfId="0" applyNumberFormat="1" applyFont="1" applyBorder="1" applyAlignment="1">
      <alignment vertical="center"/>
    </xf>
    <xf numFmtId="164" fontId="25" fillId="0" borderId="44" xfId="0" applyNumberFormat="1" applyFont="1" applyBorder="1" applyAlignment="1">
      <alignment horizontal="right" vertical="center"/>
    </xf>
    <xf numFmtId="164" fontId="25" fillId="0" borderId="64" xfId="0" applyNumberFormat="1" applyFont="1" applyBorder="1" applyAlignment="1">
      <alignment horizontal="right" vertical="center"/>
    </xf>
    <xf numFmtId="164" fontId="25" fillId="17" borderId="17" xfId="0" applyNumberFormat="1" applyFont="1" applyFill="1" applyBorder="1" applyAlignment="1">
      <alignment horizontal="right" vertical="center"/>
    </xf>
    <xf numFmtId="164" fontId="9" fillId="0" borderId="16" xfId="0" applyNumberFormat="1" applyFont="1" applyBorder="1" applyAlignment="1">
      <alignment vertical="center"/>
    </xf>
    <xf numFmtId="8" fontId="24" fillId="0" borderId="26" xfId="0" applyNumberFormat="1" applyFont="1" applyBorder="1" applyAlignment="1">
      <alignment vertical="center"/>
    </xf>
    <xf numFmtId="164" fontId="25" fillId="0" borderId="60" xfId="0" applyNumberFormat="1" applyFont="1" applyBorder="1" applyAlignment="1">
      <alignment vertical="center"/>
    </xf>
    <xf numFmtId="164" fontId="25" fillId="17" borderId="14" xfId="0" applyNumberFormat="1" applyFont="1" applyFill="1" applyBorder="1" applyAlignment="1">
      <alignment horizontal="right" vertical="center"/>
    </xf>
    <xf numFmtId="164" fontId="25" fillId="17" borderId="26" xfId="0" applyNumberFormat="1" applyFont="1" applyFill="1" applyBorder="1" applyAlignment="1">
      <alignment horizontal="right" vertical="center"/>
    </xf>
    <xf numFmtId="164" fontId="66" fillId="0" borderId="0" xfId="0" applyNumberFormat="1" applyFont="1"/>
    <xf numFmtId="0" fontId="66" fillId="0" borderId="0" xfId="0" applyFont="1"/>
    <xf numFmtId="0" fontId="68" fillId="0" borderId="0" xfId="0" applyFont="1" applyAlignment="1">
      <alignment vertical="center"/>
    </xf>
    <xf numFmtId="164" fontId="57" fillId="0" borderId="0" xfId="0" applyNumberFormat="1" applyFont="1"/>
    <xf numFmtId="164" fontId="1" fillId="4" borderId="10" xfId="0" applyNumberFormat="1" applyFont="1" applyFill="1" applyBorder="1"/>
    <xf numFmtId="164" fontId="1" fillId="2" borderId="66" xfId="0" applyNumberFormat="1" applyFont="1" applyFill="1" applyBorder="1"/>
    <xf numFmtId="164" fontId="37" fillId="0" borderId="5" xfId="0" applyNumberFormat="1" applyFont="1" applyBorder="1" applyAlignment="1">
      <alignment horizontal="right" vertical="center"/>
    </xf>
    <xf numFmtId="0" fontId="70" fillId="0" borderId="21" xfId="0" applyFont="1" applyBorder="1" applyAlignment="1">
      <alignment horizontal="center" vertical="center"/>
    </xf>
    <xf numFmtId="0" fontId="70" fillId="0" borderId="5" xfId="0" applyFont="1" applyBorder="1" applyAlignment="1">
      <alignment horizontal="center" vertical="center"/>
    </xf>
    <xf numFmtId="164" fontId="37" fillId="17" borderId="11" xfId="0" applyNumberFormat="1" applyFont="1" applyFill="1" applyBorder="1" applyAlignment="1">
      <alignment horizontal="right" vertical="center"/>
    </xf>
    <xf numFmtId="164" fontId="39" fillId="0" borderId="22" xfId="0" applyNumberFormat="1" applyFont="1" applyBorder="1" applyAlignment="1">
      <alignment vertical="center"/>
    </xf>
    <xf numFmtId="164" fontId="39" fillId="0" borderId="31" xfId="0" applyNumberFormat="1" applyFont="1" applyBorder="1" applyAlignment="1">
      <alignment vertical="center"/>
    </xf>
    <xf numFmtId="164" fontId="37" fillId="0" borderId="0" xfId="0" applyNumberFormat="1" applyFont="1" applyAlignment="1">
      <alignment horizontal="right" vertical="center"/>
    </xf>
    <xf numFmtId="164" fontId="39" fillId="0" borderId="21" xfId="0" applyNumberFormat="1" applyFont="1" applyBorder="1" applyAlignment="1">
      <alignment vertical="center"/>
    </xf>
    <xf numFmtId="8" fontId="37" fillId="0" borderId="0" xfId="0" applyNumberFormat="1" applyFont="1" applyAlignment="1">
      <alignment vertical="center"/>
    </xf>
    <xf numFmtId="164" fontId="71" fillId="0" borderId="21" xfId="0" applyNumberFormat="1" applyFont="1" applyBorder="1" applyAlignment="1">
      <alignment vertical="center"/>
    </xf>
    <xf numFmtId="0" fontId="39" fillId="0" borderId="0" xfId="0" applyFont="1"/>
    <xf numFmtId="164" fontId="39" fillId="0" borderId="46" xfId="0" applyNumberFormat="1" applyFont="1" applyBorder="1" applyAlignment="1">
      <alignment vertical="center"/>
    </xf>
    <xf numFmtId="164" fontId="39" fillId="0" borderId="60" xfId="0" applyNumberFormat="1" applyFont="1" applyBorder="1" applyAlignment="1">
      <alignment vertical="center"/>
    </xf>
    <xf numFmtId="164" fontId="39" fillId="0" borderId="34" xfId="0" applyNumberFormat="1" applyFont="1" applyBorder="1" applyAlignment="1">
      <alignment vertical="center"/>
    </xf>
    <xf numFmtId="8" fontId="37" fillId="0" borderId="13" xfId="0" applyNumberFormat="1" applyFont="1" applyBorder="1" applyAlignment="1">
      <alignment vertical="center"/>
    </xf>
    <xf numFmtId="164" fontId="39" fillId="0" borderId="27" xfId="0" applyNumberFormat="1" applyFont="1" applyBorder="1" applyAlignment="1">
      <alignment vertical="center"/>
    </xf>
    <xf numFmtId="8" fontId="37" fillId="0" borderId="14" xfId="0" applyNumberFormat="1" applyFont="1" applyBorder="1" applyAlignment="1">
      <alignment vertical="center"/>
    </xf>
    <xf numFmtId="164" fontId="37" fillId="0" borderId="25" xfId="0" applyNumberFormat="1" applyFont="1" applyBorder="1" applyAlignment="1">
      <alignment vertical="center"/>
    </xf>
    <xf numFmtId="164" fontId="0" fillId="7" borderId="65" xfId="0" applyNumberFormat="1" applyFill="1" applyBorder="1"/>
    <xf numFmtId="0" fontId="57" fillId="0" borderId="0" xfId="0" applyFont="1"/>
    <xf numFmtId="0" fontId="20" fillId="0" borderId="15" xfId="0" applyFont="1" applyBorder="1" applyAlignment="1">
      <alignment horizontal="center" vertical="center"/>
    </xf>
    <xf numFmtId="14" fontId="65" fillId="0" borderId="0" xfId="0" applyNumberFormat="1" applyFont="1" applyAlignment="1">
      <alignment horizontal="center" vertical="center" wrapText="1"/>
    </xf>
    <xf numFmtId="164" fontId="25" fillId="0" borderId="25" xfId="0" applyNumberFormat="1" applyFont="1" applyBorder="1" applyAlignment="1">
      <alignment horizontal="right" vertical="center"/>
    </xf>
    <xf numFmtId="164" fontId="25" fillId="0" borderId="36" xfId="0" applyNumberFormat="1" applyFont="1" applyBorder="1" applyAlignment="1">
      <alignment vertical="center"/>
    </xf>
    <xf numFmtId="164" fontId="25" fillId="11" borderId="45" xfId="0" applyNumberFormat="1" applyFont="1" applyFill="1" applyBorder="1" applyAlignment="1">
      <alignment vertical="center"/>
    </xf>
    <xf numFmtId="0" fontId="20" fillId="0" borderId="16" xfId="0" applyFont="1" applyBorder="1" applyAlignment="1">
      <alignment horizontal="center" vertical="center"/>
    </xf>
    <xf numFmtId="0" fontId="20" fillId="0" borderId="7" xfId="0" applyFont="1" applyBorder="1" applyAlignment="1">
      <alignment horizontal="center" vertical="center"/>
    </xf>
    <xf numFmtId="14" fontId="65" fillId="0" borderId="7" xfId="0" applyNumberFormat="1" applyFont="1" applyBorder="1" applyAlignment="1">
      <alignment horizontal="center" vertical="center" wrapText="1"/>
    </xf>
    <xf numFmtId="14" fontId="65" fillId="0" borderId="10" xfId="0" applyNumberFormat="1" applyFont="1" applyBorder="1" applyAlignment="1">
      <alignment horizontal="center" vertical="center" wrapText="1"/>
    </xf>
    <xf numFmtId="164" fontId="25" fillId="0" borderId="23" xfId="0" applyNumberFormat="1" applyFont="1" applyBorder="1" applyAlignment="1">
      <alignment horizontal="right" vertical="center"/>
    </xf>
    <xf numFmtId="164" fontId="24" fillId="0" borderId="16" xfId="0" applyNumberFormat="1" applyFont="1" applyBorder="1" applyAlignment="1">
      <alignment vertical="center"/>
    </xf>
    <xf numFmtId="164" fontId="25" fillId="0" borderId="15" xfId="0" applyNumberFormat="1" applyFont="1" applyBorder="1" applyAlignment="1">
      <alignment horizontal="right" vertical="center"/>
    </xf>
    <xf numFmtId="164" fontId="25" fillId="0" borderId="9" xfId="0" applyNumberFormat="1" applyFont="1" applyBorder="1" applyAlignment="1">
      <alignment vertical="center"/>
    </xf>
    <xf numFmtId="164" fontId="37" fillId="0" borderId="11" xfId="0" applyNumberFormat="1" applyFont="1" applyBorder="1" applyAlignment="1">
      <alignment vertical="center"/>
    </xf>
    <xf numFmtId="14" fontId="70" fillId="0" borderId="10" xfId="0" applyNumberFormat="1" applyFont="1" applyBorder="1" applyAlignment="1">
      <alignment horizontal="center" vertical="center"/>
    </xf>
    <xf numFmtId="164" fontId="71" fillId="0" borderId="27" xfId="0" applyNumberFormat="1" applyFont="1" applyBorder="1" applyAlignment="1">
      <alignment vertical="center"/>
    </xf>
    <xf numFmtId="164" fontId="37" fillId="0" borderId="10" xfId="0" applyNumberFormat="1" applyFont="1" applyBorder="1" applyAlignment="1">
      <alignment horizontal="right" vertical="center"/>
    </xf>
    <xf numFmtId="49" fontId="0" fillId="0" borderId="0" xfId="0" applyNumberFormat="1"/>
    <xf numFmtId="164" fontId="1" fillId="0" borderId="0" xfId="0" applyNumberFormat="1" applyFont="1"/>
    <xf numFmtId="0" fontId="72" fillId="7" borderId="0" xfId="1" applyFont="1" applyFill="1"/>
    <xf numFmtId="164" fontId="0" fillId="11" borderId="0" xfId="0" applyNumberFormat="1" applyFill="1"/>
    <xf numFmtId="14" fontId="4" fillId="0" borderId="0" xfId="0" applyNumberFormat="1" applyFont="1"/>
    <xf numFmtId="8" fontId="0" fillId="0" borderId="0" xfId="0" applyNumberFormat="1"/>
    <xf numFmtId="14" fontId="0" fillId="0" borderId="0" xfId="0" applyNumberFormat="1" applyAlignment="1">
      <alignment vertical="top"/>
    </xf>
    <xf numFmtId="0" fontId="0" fillId="0" borderId="0" xfId="0" applyAlignment="1">
      <alignment vertical="top"/>
    </xf>
    <xf numFmtId="0" fontId="0" fillId="0" borderId="0" xfId="0" applyAlignment="1">
      <alignment vertical="top" wrapText="1"/>
    </xf>
    <xf numFmtId="164" fontId="4" fillId="5" borderId="65" xfId="0" applyNumberFormat="1" applyFont="1" applyFill="1" applyBorder="1"/>
    <xf numFmtId="164" fontId="0" fillId="7" borderId="29" xfId="0" applyNumberFormat="1" applyFill="1" applyBorder="1"/>
    <xf numFmtId="164" fontId="0" fillId="7" borderId="67" xfId="0" applyNumberFormat="1" applyFill="1" applyBorder="1"/>
    <xf numFmtId="164" fontId="0" fillId="7" borderId="66" xfId="0" applyNumberFormat="1" applyFill="1" applyBorder="1"/>
    <xf numFmtId="49" fontId="33" fillId="0" borderId="63" xfId="0" applyNumberFormat="1" applyFont="1" applyBorder="1"/>
    <xf numFmtId="49" fontId="33" fillId="0" borderId="68" xfId="0" applyNumberFormat="1" applyFont="1" applyBorder="1"/>
    <xf numFmtId="171" fontId="0" fillId="0" borderId="43" xfId="0" applyNumberFormat="1" applyBorder="1"/>
    <xf numFmtId="49" fontId="0" fillId="0" borderId="43" xfId="0" applyNumberFormat="1" applyBorder="1"/>
    <xf numFmtId="49" fontId="0" fillId="0" borderId="37" xfId="0" applyNumberFormat="1" applyBorder="1"/>
    <xf numFmtId="171" fontId="0" fillId="0" borderId="37" xfId="0" applyNumberFormat="1" applyBorder="1"/>
    <xf numFmtId="0" fontId="74" fillId="0" borderId="0" xfId="0" applyFont="1" applyAlignment="1">
      <alignment wrapText="1"/>
    </xf>
    <xf numFmtId="0" fontId="74" fillId="0" borderId="0" xfId="0" applyFont="1" applyAlignment="1">
      <alignment vertical="center" wrapText="1"/>
    </xf>
    <xf numFmtId="49" fontId="33" fillId="0" borderId="43" xfId="0" applyNumberFormat="1" applyFont="1" applyBorder="1"/>
    <xf numFmtId="171" fontId="33" fillId="0" borderId="43" xfId="0" applyNumberFormat="1" applyFont="1" applyBorder="1"/>
    <xf numFmtId="164" fontId="28" fillId="0" borderId="69" xfId="0" applyNumberFormat="1" applyFont="1" applyBorder="1"/>
    <xf numFmtId="164" fontId="28" fillId="0" borderId="70" xfId="0" applyNumberFormat="1" applyFont="1" applyBorder="1"/>
    <xf numFmtId="164" fontId="33" fillId="0" borderId="71" xfId="0" applyNumberFormat="1" applyFont="1" applyBorder="1"/>
    <xf numFmtId="164" fontId="13" fillId="0" borderId="71" xfId="0" applyNumberFormat="1" applyFont="1" applyBorder="1"/>
    <xf numFmtId="164" fontId="0" fillId="0" borderId="69" xfId="0" applyNumberFormat="1" applyBorder="1"/>
    <xf numFmtId="164" fontId="9" fillId="0" borderId="71" xfId="0" applyNumberFormat="1" applyFont="1" applyBorder="1"/>
    <xf numFmtId="49" fontId="57" fillId="0" borderId="43" xfId="0" applyNumberFormat="1" applyFont="1" applyBorder="1"/>
    <xf numFmtId="0" fontId="0" fillId="0" borderId="45" xfId="0" applyBorder="1" applyAlignment="1">
      <alignment vertical="center"/>
    </xf>
    <xf numFmtId="0" fontId="21" fillId="0" borderId="72" xfId="0" applyFont="1" applyBorder="1" applyAlignment="1">
      <alignment horizontal="center" vertical="center"/>
    </xf>
    <xf numFmtId="14" fontId="23" fillId="0" borderId="44" xfId="0" applyNumberFormat="1" applyFont="1" applyBorder="1" applyAlignment="1">
      <alignment horizontal="center" vertical="center" wrapText="1"/>
    </xf>
    <xf numFmtId="164" fontId="9" fillId="0" borderId="72" xfId="0" applyNumberFormat="1" applyFont="1" applyBorder="1" applyAlignment="1">
      <alignment vertical="center"/>
    </xf>
    <xf numFmtId="0" fontId="1" fillId="0" borderId="45" xfId="0" applyFont="1" applyBorder="1" applyAlignment="1">
      <alignment vertical="center"/>
    </xf>
    <xf numFmtId="164" fontId="25" fillId="14" borderId="44" xfId="0" applyNumberFormat="1" applyFont="1" applyFill="1" applyBorder="1" applyAlignment="1">
      <alignment vertical="center"/>
    </xf>
    <xf numFmtId="14" fontId="21" fillId="0" borderId="73" xfId="0" applyNumberFormat="1" applyFont="1" applyBorder="1" applyAlignment="1">
      <alignment horizontal="center" vertical="center"/>
    </xf>
    <xf numFmtId="164" fontId="25" fillId="0" borderId="74" xfId="0" applyNumberFormat="1" applyFont="1" applyBorder="1" applyAlignment="1">
      <alignment horizontal="right" vertical="center"/>
    </xf>
    <xf numFmtId="164" fontId="9" fillId="0" borderId="73" xfId="0" applyNumberFormat="1" applyFont="1" applyBorder="1" applyAlignment="1">
      <alignment vertical="center"/>
    </xf>
    <xf numFmtId="14" fontId="50" fillId="0" borderId="74" xfId="0" applyNumberFormat="1" applyFont="1" applyBorder="1" applyAlignment="1">
      <alignment horizontal="center" vertical="center" wrapText="1"/>
    </xf>
    <xf numFmtId="164" fontId="12" fillId="14" borderId="74" xfId="0" applyNumberFormat="1" applyFont="1" applyFill="1" applyBorder="1" applyAlignment="1">
      <alignment vertical="center"/>
    </xf>
    <xf numFmtId="164" fontId="1" fillId="14" borderId="73" xfId="0" applyNumberFormat="1" applyFont="1" applyFill="1" applyBorder="1" applyAlignment="1">
      <alignment vertical="center"/>
    </xf>
    <xf numFmtId="164" fontId="12" fillId="14" borderId="73" xfId="0" applyNumberFormat="1" applyFont="1" applyFill="1" applyBorder="1" applyAlignment="1">
      <alignment vertical="center"/>
    </xf>
    <xf numFmtId="164" fontId="39" fillId="0" borderId="74" xfId="0" applyNumberFormat="1" applyFont="1" applyBorder="1" applyAlignment="1">
      <alignment vertical="center"/>
    </xf>
    <xf numFmtId="8" fontId="39" fillId="0" borderId="0" xfId="0" applyNumberFormat="1" applyFont="1"/>
    <xf numFmtId="0" fontId="49" fillId="0" borderId="0" xfId="0" applyFont="1"/>
    <xf numFmtId="0" fontId="75" fillId="20" borderId="75" xfId="0" applyFont="1" applyFill="1" applyBorder="1" applyAlignment="1">
      <alignment wrapText="1"/>
    </xf>
    <xf numFmtId="8" fontId="76" fillId="21" borderId="75" xfId="0" applyNumberFormat="1" applyFont="1" applyFill="1" applyBorder="1"/>
    <xf numFmtId="8" fontId="49" fillId="22" borderId="75" xfId="0" applyNumberFormat="1" applyFont="1" applyFill="1" applyBorder="1"/>
    <xf numFmtId="8" fontId="49" fillId="23" borderId="75" xfId="0" applyNumberFormat="1" applyFont="1" applyFill="1" applyBorder="1"/>
    <xf numFmtId="0" fontId="5" fillId="0" borderId="75" xfId="0" applyFont="1" applyBorder="1"/>
    <xf numFmtId="0" fontId="49" fillId="0" borderId="75" xfId="0" applyFont="1" applyBorder="1"/>
    <xf numFmtId="8" fontId="76" fillId="21" borderId="76" xfId="0" applyNumberFormat="1" applyFont="1" applyFill="1" applyBorder="1"/>
    <xf numFmtId="8" fontId="77" fillId="21" borderId="11" xfId="0" applyNumberFormat="1" applyFont="1" applyFill="1" applyBorder="1"/>
    <xf numFmtId="8" fontId="76" fillId="24" borderId="75" xfId="0" applyNumberFormat="1" applyFont="1" applyFill="1" applyBorder="1"/>
    <xf numFmtId="8" fontId="49" fillId="25" borderId="75" xfId="0" applyNumberFormat="1" applyFont="1" applyFill="1" applyBorder="1"/>
    <xf numFmtId="8" fontId="49" fillId="26" borderId="75" xfId="0" applyNumberFormat="1" applyFont="1" applyFill="1" applyBorder="1"/>
    <xf numFmtId="8" fontId="49" fillId="26" borderId="77" xfId="0" applyNumberFormat="1" applyFont="1" applyFill="1" applyBorder="1"/>
    <xf numFmtId="8" fontId="5" fillId="25" borderId="75" xfId="0" applyNumberFormat="1" applyFont="1" applyFill="1" applyBorder="1"/>
    <xf numFmtId="8" fontId="76" fillId="26" borderId="75" xfId="0" applyNumberFormat="1" applyFont="1" applyFill="1" applyBorder="1"/>
    <xf numFmtId="8" fontId="49" fillId="25" borderId="0" xfId="0" applyNumberFormat="1" applyFont="1" applyFill="1"/>
    <xf numFmtId="8" fontId="49" fillId="26" borderId="0" xfId="0" applyNumberFormat="1" applyFont="1" applyFill="1"/>
    <xf numFmtId="8" fontId="78" fillId="24" borderId="75" xfId="0" applyNumberFormat="1" applyFont="1" applyFill="1" applyBorder="1"/>
    <xf numFmtId="8" fontId="77" fillId="21" borderId="75" xfId="0" applyNumberFormat="1" applyFont="1" applyFill="1" applyBorder="1"/>
    <xf numFmtId="8" fontId="77" fillId="27" borderId="77" xfId="0" applyNumberFormat="1" applyFont="1" applyFill="1" applyBorder="1"/>
    <xf numFmtId="8" fontId="79" fillId="0" borderId="0" xfId="0" applyNumberFormat="1" applyFont="1"/>
    <xf numFmtId="8" fontId="49" fillId="0" borderId="0" xfId="0" applyNumberFormat="1" applyFont="1"/>
    <xf numFmtId="8" fontId="49" fillId="27" borderId="0" xfId="0" applyNumberFormat="1" applyFont="1" applyFill="1"/>
    <xf numFmtId="0" fontId="80" fillId="0" borderId="0" xfId="0" applyFont="1"/>
    <xf numFmtId="8" fontId="80" fillId="0" borderId="0" xfId="0" applyNumberFormat="1" applyFont="1"/>
    <xf numFmtId="8" fontId="81" fillId="0" borderId="0" xfId="0" applyNumberFormat="1" applyFont="1"/>
    <xf numFmtId="14" fontId="49" fillId="0" borderId="0" xfId="0" applyNumberFormat="1" applyFont="1"/>
    <xf numFmtId="0" fontId="0" fillId="0" borderId="80" xfId="0" applyBorder="1" applyAlignment="1">
      <alignment vertical="center"/>
    </xf>
    <xf numFmtId="170" fontId="33" fillId="0" borderId="4" xfId="0" applyNumberFormat="1" applyFont="1" applyBorder="1" applyAlignment="1">
      <alignment horizontal="center" vertical="center" textRotation="255"/>
    </xf>
    <xf numFmtId="17" fontId="33" fillId="0" borderId="4" xfId="0" applyNumberFormat="1" applyFont="1" applyBorder="1" applyAlignment="1">
      <alignment horizontal="center" vertical="center" textRotation="255"/>
    </xf>
    <xf numFmtId="0" fontId="33" fillId="0" borderId="4" xfId="0" applyFont="1" applyBorder="1" applyAlignment="1">
      <alignment horizontal="center" vertical="center" textRotation="255"/>
    </xf>
    <xf numFmtId="8" fontId="76" fillId="21" borderId="75" xfId="0" applyNumberFormat="1" applyFont="1" applyFill="1" applyBorder="1" applyAlignment="1"/>
    <xf numFmtId="8" fontId="49" fillId="22" borderId="75" xfId="0" applyNumberFormat="1" applyFont="1" applyFill="1" applyBorder="1" applyAlignment="1"/>
    <xf numFmtId="8" fontId="49" fillId="23" borderId="75" xfId="0" applyNumberFormat="1" applyFont="1" applyFill="1" applyBorder="1" applyAlignment="1"/>
    <xf numFmtId="0" fontId="5" fillId="0" borderId="75" xfId="0" applyFont="1" applyBorder="1" applyAlignment="1"/>
    <xf numFmtId="0" fontId="49" fillId="0" borderId="75" xfId="0" applyFont="1" applyBorder="1" applyAlignment="1"/>
    <xf numFmtId="8" fontId="76" fillId="21" borderId="76" xfId="0" applyNumberFormat="1" applyFont="1" applyFill="1" applyBorder="1" applyAlignment="1"/>
    <xf numFmtId="8" fontId="77" fillId="21" borderId="11" xfId="0" applyNumberFormat="1" applyFont="1" applyFill="1" applyBorder="1" applyAlignment="1"/>
    <xf numFmtId="8" fontId="76" fillId="24" borderId="75" xfId="0" applyNumberFormat="1" applyFont="1" applyFill="1" applyBorder="1" applyAlignment="1"/>
    <xf numFmtId="8" fontId="49" fillId="25" borderId="75" xfId="0" applyNumberFormat="1" applyFont="1" applyFill="1" applyBorder="1" applyAlignment="1"/>
    <xf numFmtId="8" fontId="49" fillId="26" borderId="75" xfId="0" applyNumberFormat="1" applyFont="1" applyFill="1" applyBorder="1" applyAlignment="1"/>
    <xf numFmtId="8" fontId="49" fillId="26" borderId="77" xfId="0" applyNumberFormat="1" applyFont="1" applyFill="1" applyBorder="1" applyAlignment="1"/>
    <xf numFmtId="8" fontId="5" fillId="25" borderId="75" xfId="0" applyNumberFormat="1" applyFont="1" applyFill="1" applyBorder="1" applyAlignment="1"/>
    <xf numFmtId="8" fontId="76" fillId="26" borderId="75" xfId="0" applyNumberFormat="1" applyFont="1" applyFill="1" applyBorder="1" applyAlignment="1"/>
    <xf numFmtId="8" fontId="49" fillId="25" borderId="0" xfId="0" applyNumberFormat="1" applyFont="1" applyFill="1" applyBorder="1" applyAlignment="1"/>
    <xf numFmtId="8" fontId="49" fillId="26" borderId="0" xfId="0" applyNumberFormat="1" applyFont="1" applyFill="1" applyBorder="1" applyAlignment="1"/>
    <xf numFmtId="8" fontId="78" fillId="24" borderId="75" xfId="0" applyNumberFormat="1" applyFont="1" applyFill="1" applyBorder="1" applyAlignment="1"/>
    <xf numFmtId="8" fontId="77" fillId="21" borderId="75" xfId="0" applyNumberFormat="1" applyFont="1" applyFill="1" applyBorder="1" applyAlignment="1"/>
    <xf numFmtId="8" fontId="77" fillId="27" borderId="77" xfId="0" applyNumberFormat="1" applyFont="1" applyFill="1" applyBorder="1" applyAlignment="1"/>
    <xf numFmtId="0" fontId="49" fillId="0" borderId="0" xfId="0" applyFont="1" applyBorder="1" applyAlignment="1"/>
    <xf numFmtId="8" fontId="79" fillId="0" borderId="0" xfId="0" applyNumberFormat="1" applyFont="1" applyBorder="1" applyAlignment="1"/>
    <xf numFmtId="8" fontId="49" fillId="0" borderId="0" xfId="0" applyNumberFormat="1" applyFont="1" applyBorder="1" applyAlignment="1"/>
    <xf numFmtId="8" fontId="49" fillId="27" borderId="0" xfId="0" applyNumberFormat="1" applyFont="1" applyFill="1" applyBorder="1" applyAlignment="1"/>
    <xf numFmtId="0" fontId="0" fillId="0" borderId="88" xfId="0" applyBorder="1" applyAlignment="1">
      <alignment vertical="center"/>
    </xf>
    <xf numFmtId="0" fontId="1" fillId="0" borderId="92" xfId="0" applyFont="1" applyBorder="1" applyAlignment="1">
      <alignment vertical="center"/>
    </xf>
    <xf numFmtId="14" fontId="46" fillId="0" borderId="93" xfId="0" applyNumberFormat="1" applyFont="1" applyBorder="1" applyAlignment="1">
      <alignment horizontal="center" vertical="center" wrapText="1"/>
    </xf>
    <xf numFmtId="14" fontId="21" fillId="0" borderId="92" xfId="0" applyNumberFormat="1" applyFont="1" applyBorder="1" applyAlignment="1">
      <alignment horizontal="center" vertical="center"/>
    </xf>
    <xf numFmtId="14" fontId="50" fillId="0" borderId="94" xfId="0" applyNumberFormat="1" applyFont="1" applyBorder="1" applyAlignment="1">
      <alignment horizontal="center" vertical="center" wrapText="1"/>
    </xf>
    <xf numFmtId="14" fontId="21" fillId="0" borderId="95" xfId="0" applyNumberFormat="1" applyFont="1" applyBorder="1" applyAlignment="1">
      <alignment horizontal="center" vertical="center"/>
    </xf>
    <xf numFmtId="0" fontId="18" fillId="14" borderId="90" xfId="0" applyFont="1" applyFill="1" applyBorder="1" applyAlignment="1">
      <alignment vertical="center"/>
    </xf>
    <xf numFmtId="0" fontId="24" fillId="14" borderId="91" xfId="0" applyFont="1" applyFill="1" applyBorder="1" applyAlignment="1">
      <alignment vertical="center"/>
    </xf>
    <xf numFmtId="164" fontId="25" fillId="14" borderId="96" xfId="0" applyNumberFormat="1" applyFont="1" applyFill="1" applyBorder="1" applyAlignment="1">
      <alignment horizontal="center" vertical="center" wrapText="1"/>
    </xf>
    <xf numFmtId="164" fontId="24" fillId="14" borderId="97" xfId="0" applyNumberFormat="1" applyFont="1" applyFill="1" applyBorder="1" applyAlignment="1">
      <alignment horizontal="center" vertical="center" wrapText="1"/>
    </xf>
    <xf numFmtId="164" fontId="24" fillId="14" borderId="98" xfId="0" applyNumberFormat="1" applyFont="1" applyFill="1" applyBorder="1" applyAlignment="1">
      <alignment horizontal="center" vertical="center" wrapText="1"/>
    </xf>
    <xf numFmtId="164" fontId="24" fillId="14" borderId="91" xfId="0" applyNumberFormat="1" applyFont="1" applyFill="1" applyBorder="1" applyAlignment="1">
      <alignment horizontal="center" vertical="center" wrapText="1"/>
    </xf>
    <xf numFmtId="164" fontId="24" fillId="14" borderId="86" xfId="0" applyNumberFormat="1" applyFont="1" applyFill="1" applyBorder="1" applyAlignment="1">
      <alignment horizontal="center" vertical="center" wrapText="1"/>
    </xf>
    <xf numFmtId="164" fontId="24" fillId="14" borderId="99" xfId="0" applyNumberFormat="1" applyFont="1" applyFill="1" applyBorder="1" applyAlignment="1">
      <alignment horizontal="center" vertical="center" wrapText="1"/>
    </xf>
    <xf numFmtId="164" fontId="24" fillId="14" borderId="87" xfId="0" applyNumberFormat="1" applyFont="1" applyFill="1" applyBorder="1" applyAlignment="1">
      <alignment horizontal="center" vertical="center" wrapText="1"/>
    </xf>
    <xf numFmtId="164" fontId="24" fillId="14" borderId="100" xfId="0" applyNumberFormat="1" applyFont="1" applyFill="1" applyBorder="1" applyAlignment="1">
      <alignment horizontal="center" vertical="center" wrapText="1"/>
    </xf>
    <xf numFmtId="164" fontId="24" fillId="14" borderId="101" xfId="0" applyNumberFormat="1" applyFont="1" applyFill="1" applyBorder="1" applyAlignment="1">
      <alignment horizontal="center" vertical="center" wrapText="1"/>
    </xf>
    <xf numFmtId="164" fontId="24" fillId="14" borderId="90" xfId="0" applyNumberFormat="1" applyFont="1" applyFill="1" applyBorder="1" applyAlignment="1">
      <alignment horizontal="center" vertical="center" wrapText="1"/>
    </xf>
    <xf numFmtId="0" fontId="24" fillId="0" borderId="90" xfId="0" applyFont="1" applyBorder="1" applyAlignment="1">
      <alignment vertical="center"/>
    </xf>
    <xf numFmtId="0" fontId="46" fillId="14" borderId="90" xfId="0" applyFont="1" applyFill="1" applyBorder="1" applyAlignment="1">
      <alignment vertical="center"/>
    </xf>
    <xf numFmtId="164" fontId="9" fillId="14" borderId="97" xfId="0" applyNumberFormat="1" applyFont="1" applyFill="1" applyBorder="1" applyAlignment="1">
      <alignment horizontal="right" vertical="center" wrapText="1"/>
    </xf>
    <xf numFmtId="164" fontId="9" fillId="14" borderId="91" xfId="0" applyNumberFormat="1" applyFont="1" applyFill="1" applyBorder="1" applyAlignment="1">
      <alignment horizontal="right" vertical="center" wrapText="1"/>
    </xf>
    <xf numFmtId="0" fontId="9" fillId="15" borderId="90" xfId="0" applyFont="1" applyFill="1" applyBorder="1" applyAlignment="1">
      <alignment vertical="center"/>
    </xf>
    <xf numFmtId="0" fontId="9" fillId="15" borderId="91" xfId="0" applyFont="1" applyFill="1" applyBorder="1" applyAlignment="1">
      <alignment vertical="center"/>
    </xf>
    <xf numFmtId="164" fontId="25" fillId="15" borderId="96" xfId="0" applyNumberFormat="1" applyFont="1" applyFill="1" applyBorder="1" applyAlignment="1">
      <alignment horizontal="right" vertical="center" wrapText="1"/>
    </xf>
    <xf numFmtId="164" fontId="9" fillId="15" borderId="97" xfId="0" applyNumberFormat="1" applyFont="1" applyFill="1" applyBorder="1" applyAlignment="1">
      <alignment horizontal="right" vertical="center" wrapText="1"/>
    </xf>
    <xf numFmtId="164" fontId="24" fillId="15" borderId="98" xfId="0" applyNumberFormat="1" applyFont="1" applyFill="1" applyBorder="1" applyAlignment="1">
      <alignment horizontal="right" vertical="center" wrapText="1"/>
    </xf>
    <xf numFmtId="164" fontId="24" fillId="15" borderId="97" xfId="0" applyNumberFormat="1" applyFont="1" applyFill="1" applyBorder="1" applyAlignment="1">
      <alignment horizontal="right" vertical="center" wrapText="1"/>
    </xf>
    <xf numFmtId="164" fontId="9" fillId="15" borderId="91" xfId="0" applyNumberFormat="1" applyFont="1" applyFill="1" applyBorder="1" applyAlignment="1">
      <alignment horizontal="right" vertical="center" wrapText="1"/>
    </xf>
    <xf numFmtId="164" fontId="24" fillId="15" borderId="86" xfId="0" applyNumberFormat="1" applyFont="1" applyFill="1" applyBorder="1" applyAlignment="1">
      <alignment horizontal="right" vertical="center" wrapText="1"/>
    </xf>
    <xf numFmtId="164" fontId="24" fillId="15" borderId="99" xfId="0" applyNumberFormat="1" applyFont="1" applyFill="1" applyBorder="1" applyAlignment="1">
      <alignment horizontal="right" vertical="center" wrapText="1"/>
    </xf>
    <xf numFmtId="164" fontId="9" fillId="15" borderId="87" xfId="0" applyNumberFormat="1" applyFont="1" applyFill="1" applyBorder="1" applyAlignment="1">
      <alignment horizontal="right" vertical="center" wrapText="1"/>
    </xf>
    <xf numFmtId="164" fontId="9" fillId="15" borderId="100" xfId="0" applyNumberFormat="1" applyFont="1" applyFill="1" applyBorder="1" applyAlignment="1">
      <alignment horizontal="right" vertical="center" wrapText="1"/>
    </xf>
    <xf numFmtId="164" fontId="9" fillId="15" borderId="101" xfId="0" applyNumberFormat="1" applyFont="1" applyFill="1" applyBorder="1" applyAlignment="1">
      <alignment horizontal="right" vertical="center" wrapText="1"/>
    </xf>
    <xf numFmtId="164" fontId="9" fillId="15" borderId="90" xfId="0" applyNumberFormat="1" applyFont="1" applyFill="1" applyBorder="1" applyAlignment="1">
      <alignment horizontal="right" vertical="center" wrapText="1"/>
    </xf>
    <xf numFmtId="0" fontId="64" fillId="15" borderId="90" xfId="0" applyFont="1" applyFill="1" applyBorder="1" applyAlignment="1">
      <alignment vertical="center"/>
    </xf>
    <xf numFmtId="0" fontId="0" fillId="15" borderId="90" xfId="0" applyFill="1" applyBorder="1" applyAlignment="1">
      <alignment vertical="center"/>
    </xf>
    <xf numFmtId="0" fontId="0" fillId="15" borderId="91" xfId="0" applyFill="1" applyBorder="1" applyAlignment="1">
      <alignment vertical="center"/>
    </xf>
    <xf numFmtId="164" fontId="25" fillId="15" borderId="96" xfId="0" applyNumberFormat="1" applyFont="1" applyFill="1" applyBorder="1" applyAlignment="1">
      <alignment horizontal="right" vertical="center"/>
    </xf>
    <xf numFmtId="164" fontId="18" fillId="15" borderId="97" xfId="0" applyNumberFormat="1" applyFont="1" applyFill="1" applyBorder="1" applyAlignment="1">
      <alignment horizontal="right" vertical="center"/>
    </xf>
    <xf numFmtId="164" fontId="24" fillId="15" borderId="98" xfId="0" applyNumberFormat="1" applyFont="1" applyFill="1" applyBorder="1" applyAlignment="1">
      <alignment horizontal="right" vertical="center"/>
    </xf>
    <xf numFmtId="164" fontId="24" fillId="15" borderId="97" xfId="0" applyNumberFormat="1" applyFont="1" applyFill="1" applyBorder="1" applyAlignment="1">
      <alignment vertical="center"/>
    </xf>
    <xf numFmtId="164" fontId="0" fillId="15" borderId="91" xfId="0" applyNumberFormat="1" applyFill="1" applyBorder="1" applyAlignment="1">
      <alignment horizontal="right" vertical="center"/>
    </xf>
    <xf numFmtId="164" fontId="24" fillId="15" borderId="86" xfId="0" applyNumberFormat="1" applyFont="1" applyFill="1" applyBorder="1" applyAlignment="1">
      <alignment vertical="center"/>
    </xf>
    <xf numFmtId="164" fontId="24" fillId="15" borderId="99" xfId="0" applyNumberFormat="1" applyFont="1" applyFill="1" applyBorder="1" applyAlignment="1">
      <alignment vertical="center"/>
    </xf>
    <xf numFmtId="164" fontId="0" fillId="15" borderId="87" xfId="0" applyNumberFormat="1" applyFill="1" applyBorder="1" applyAlignment="1">
      <alignment vertical="center"/>
    </xf>
    <xf numFmtId="164" fontId="0" fillId="15" borderId="100" xfId="0" applyNumberFormat="1" applyFill="1" applyBorder="1" applyAlignment="1">
      <alignment vertical="center"/>
    </xf>
    <xf numFmtId="164" fontId="0" fillId="15" borderId="101" xfId="0" applyNumberFormat="1" applyFill="1" applyBorder="1" applyAlignment="1">
      <alignment vertical="center"/>
    </xf>
    <xf numFmtId="164" fontId="0" fillId="15" borderId="90" xfId="0" applyNumberFormat="1" applyFill="1" applyBorder="1" applyAlignment="1">
      <alignment vertical="center"/>
    </xf>
    <xf numFmtId="164" fontId="0" fillId="15" borderId="97" xfId="0" applyNumberFormat="1" applyFill="1" applyBorder="1" applyAlignment="1">
      <alignment horizontal="right" vertical="center"/>
    </xf>
    <xf numFmtId="0" fontId="1" fillId="14" borderId="90" xfId="0" applyFont="1" applyFill="1" applyBorder="1" applyAlignment="1">
      <alignment vertical="center"/>
    </xf>
    <xf numFmtId="0" fontId="1" fillId="14" borderId="91" xfId="0" applyFont="1" applyFill="1" applyBorder="1" applyAlignment="1">
      <alignment vertical="center"/>
    </xf>
    <xf numFmtId="164" fontId="25" fillId="14" borderId="96" xfId="0" applyNumberFormat="1" applyFont="1" applyFill="1" applyBorder="1" applyAlignment="1">
      <alignment horizontal="right" vertical="center"/>
    </xf>
    <xf numFmtId="164" fontId="0" fillId="14" borderId="97" xfId="0" applyNumberFormat="1" applyFill="1" applyBorder="1" applyAlignment="1">
      <alignment horizontal="right" vertical="center"/>
    </xf>
    <xf numFmtId="164" fontId="24" fillId="14" borderId="98" xfId="0" applyNumberFormat="1" applyFont="1" applyFill="1" applyBorder="1" applyAlignment="1">
      <alignment horizontal="right" vertical="center"/>
    </xf>
    <xf numFmtId="164" fontId="0" fillId="14" borderId="97" xfId="0" applyNumberFormat="1" applyFill="1" applyBorder="1" applyAlignment="1">
      <alignment vertical="center"/>
    </xf>
    <xf numFmtId="164" fontId="0" fillId="14" borderId="91" xfId="0" applyNumberFormat="1" applyFill="1" applyBorder="1" applyAlignment="1">
      <alignment horizontal="right" vertical="center"/>
    </xf>
    <xf numFmtId="164" fontId="0" fillId="14" borderId="86" xfId="0" applyNumberFormat="1" applyFill="1" applyBorder="1" applyAlignment="1">
      <alignment vertical="center"/>
    </xf>
    <xf numFmtId="164" fontId="0" fillId="14" borderId="99" xfId="0" applyNumberFormat="1" applyFill="1" applyBorder="1" applyAlignment="1">
      <alignment vertical="center"/>
    </xf>
    <xf numFmtId="164" fontId="0" fillId="14" borderId="87" xfId="0" applyNumberFormat="1" applyFill="1" applyBorder="1" applyAlignment="1">
      <alignment vertical="center"/>
    </xf>
    <xf numFmtId="164" fontId="0" fillId="14" borderId="100" xfId="0" applyNumberFormat="1" applyFill="1" applyBorder="1" applyAlignment="1">
      <alignment vertical="center"/>
    </xf>
    <xf numFmtId="164" fontId="0" fillId="14" borderId="101" xfId="0" applyNumberFormat="1" applyFill="1" applyBorder="1" applyAlignment="1">
      <alignment vertical="center"/>
    </xf>
    <xf numFmtId="164" fontId="0" fillId="14" borderId="90" xfId="0" applyNumberFormat="1" applyFill="1" applyBorder="1" applyAlignment="1">
      <alignment vertical="center"/>
    </xf>
    <xf numFmtId="0" fontId="57" fillId="15" borderId="90" xfId="0" applyFont="1" applyFill="1" applyBorder="1" applyAlignment="1">
      <alignment vertical="center"/>
    </xf>
    <xf numFmtId="164" fontId="9" fillId="15" borderId="91" xfId="0" applyNumberFormat="1" applyFont="1" applyFill="1" applyBorder="1" applyAlignment="1">
      <alignment horizontal="right" vertical="center"/>
    </xf>
    <xf numFmtId="164" fontId="9" fillId="15" borderId="87" xfId="0" applyNumberFormat="1" applyFont="1" applyFill="1" applyBorder="1" applyAlignment="1">
      <alignment vertical="center"/>
    </xf>
    <xf numFmtId="164" fontId="9" fillId="15" borderId="100" xfId="0" applyNumberFormat="1" applyFont="1" applyFill="1" applyBorder="1" applyAlignment="1">
      <alignment vertical="center"/>
    </xf>
    <xf numFmtId="164" fontId="9" fillId="15" borderId="101" xfId="0" applyNumberFormat="1" applyFont="1" applyFill="1" applyBorder="1" applyAlignment="1">
      <alignment vertical="center"/>
    </xf>
    <xf numFmtId="164" fontId="9" fillId="15" borderId="90" xfId="0" applyNumberFormat="1" applyFont="1" applyFill="1" applyBorder="1" applyAlignment="1">
      <alignment vertical="center"/>
    </xf>
    <xf numFmtId="164" fontId="9" fillId="15" borderId="97" xfId="0" applyNumberFormat="1" applyFont="1" applyFill="1" applyBorder="1" applyAlignment="1">
      <alignment horizontal="right" vertical="center"/>
    </xf>
    <xf numFmtId="164" fontId="9" fillId="15" borderId="96" xfId="0" applyNumberFormat="1" applyFont="1" applyFill="1" applyBorder="1" applyAlignment="1">
      <alignment vertical="center"/>
    </xf>
    <xf numFmtId="0" fontId="1" fillId="15" borderId="90" xfId="0" applyFont="1" applyFill="1" applyBorder="1" applyAlignment="1">
      <alignment vertical="center"/>
    </xf>
    <xf numFmtId="0" fontId="1" fillId="15" borderId="91" xfId="0" applyFont="1" applyFill="1" applyBorder="1" applyAlignment="1">
      <alignment vertical="center"/>
    </xf>
    <xf numFmtId="0" fontId="24" fillId="15" borderId="90" xfId="0" applyFont="1" applyFill="1" applyBorder="1" applyAlignment="1">
      <alignment vertical="center"/>
    </xf>
    <xf numFmtId="0" fontId="24" fillId="15" borderId="91" xfId="0" applyFont="1" applyFill="1" applyBorder="1" applyAlignment="1">
      <alignment vertical="center"/>
    </xf>
    <xf numFmtId="0" fontId="0" fillId="14" borderId="91" xfId="0" applyFill="1" applyBorder="1" applyAlignment="1">
      <alignment vertical="center"/>
    </xf>
    <xf numFmtId="0" fontId="0" fillId="14" borderId="96" xfId="0" applyFill="1" applyBorder="1" applyAlignment="1">
      <alignment vertical="center"/>
    </xf>
    <xf numFmtId="0" fontId="18" fillId="14" borderId="96" xfId="0" applyFont="1" applyFill="1" applyBorder="1" applyAlignment="1">
      <alignment vertical="center"/>
    </xf>
    <xf numFmtId="164" fontId="25" fillId="14" borderId="96" xfId="0" applyNumberFormat="1" applyFont="1" applyFill="1" applyBorder="1" applyAlignment="1">
      <alignment vertical="center"/>
    </xf>
    <xf numFmtId="164" fontId="1" fillId="14" borderId="97" xfId="0" applyNumberFormat="1" applyFont="1" applyFill="1" applyBorder="1" applyAlignment="1">
      <alignment vertical="center"/>
    </xf>
    <xf numFmtId="164" fontId="24" fillId="14" borderId="98" xfId="0" applyNumberFormat="1" applyFont="1" applyFill="1" applyBorder="1" applyAlignment="1">
      <alignment vertical="center"/>
    </xf>
    <xf numFmtId="164" fontId="1" fillId="14" borderId="96" xfId="0" applyNumberFormat="1" applyFont="1" applyFill="1" applyBorder="1" applyAlignment="1">
      <alignment vertical="center"/>
    </xf>
    <xf numFmtId="164" fontId="1" fillId="14" borderId="86" xfId="0" applyNumberFormat="1" applyFont="1" applyFill="1" applyBorder="1" applyAlignment="1">
      <alignment vertical="center"/>
    </xf>
    <xf numFmtId="164" fontId="1" fillId="14" borderId="99" xfId="0" applyNumberFormat="1" applyFont="1" applyFill="1" applyBorder="1" applyAlignment="1">
      <alignment vertical="center"/>
    </xf>
    <xf numFmtId="164" fontId="1" fillId="14" borderId="100" xfId="0" applyNumberFormat="1" applyFont="1" applyFill="1" applyBorder="1" applyAlignment="1">
      <alignment vertical="center"/>
    </xf>
    <xf numFmtId="164" fontId="1" fillId="14" borderId="87" xfId="0" applyNumberFormat="1" applyFont="1" applyFill="1" applyBorder="1" applyAlignment="1">
      <alignment vertical="center"/>
    </xf>
    <xf numFmtId="164" fontId="1" fillId="14" borderId="101" xfId="0" applyNumberFormat="1" applyFont="1" applyFill="1" applyBorder="1" applyAlignment="1">
      <alignment vertical="center"/>
    </xf>
    <xf numFmtId="164" fontId="1" fillId="14" borderId="90" xfId="0" applyNumberFormat="1" applyFont="1" applyFill="1" applyBorder="1" applyAlignment="1">
      <alignment vertical="center"/>
    </xf>
    <xf numFmtId="164" fontId="26" fillId="15" borderId="96" xfId="0" applyNumberFormat="1" applyFont="1" applyFill="1" applyBorder="1" applyAlignment="1">
      <alignment vertical="center"/>
    </xf>
    <xf numFmtId="164" fontId="44" fillId="15" borderId="97" xfId="0" applyNumberFormat="1" applyFont="1" applyFill="1" applyBorder="1" applyAlignment="1">
      <alignment vertical="center"/>
    </xf>
    <xf numFmtId="164" fontId="38" fillId="15" borderId="98" xfId="0" applyNumberFormat="1" applyFont="1" applyFill="1" applyBorder="1" applyAlignment="1">
      <alignment vertical="center"/>
    </xf>
    <xf numFmtId="164" fontId="38" fillId="15" borderId="97" xfId="0" applyNumberFormat="1" applyFont="1" applyFill="1" applyBorder="1" applyAlignment="1">
      <alignment vertical="center"/>
    </xf>
    <xf numFmtId="164" fontId="28" fillId="15" borderId="91" xfId="0" applyNumberFormat="1" applyFont="1" applyFill="1" applyBorder="1" applyAlignment="1">
      <alignment vertical="center"/>
    </xf>
    <xf numFmtId="164" fontId="38" fillId="15" borderId="86" xfId="0" applyNumberFormat="1" applyFont="1" applyFill="1" applyBorder="1" applyAlignment="1">
      <alignment vertical="center"/>
    </xf>
    <xf numFmtId="164" fontId="38" fillId="15" borderId="99" xfId="0" applyNumberFormat="1" applyFont="1" applyFill="1" applyBorder="1" applyAlignment="1">
      <alignment vertical="center"/>
    </xf>
    <xf numFmtId="164" fontId="27" fillId="15" borderId="87" xfId="0" applyNumberFormat="1" applyFont="1" applyFill="1" applyBorder="1" applyAlignment="1">
      <alignment vertical="center"/>
    </xf>
    <xf numFmtId="164" fontId="27" fillId="15" borderId="100" xfId="0" applyNumberFormat="1" applyFont="1" applyFill="1" applyBorder="1" applyAlignment="1">
      <alignment vertical="center"/>
    </xf>
    <xf numFmtId="164" fontId="27" fillId="15" borderId="101" xfId="0" applyNumberFormat="1" applyFont="1" applyFill="1" applyBorder="1" applyAlignment="1">
      <alignment vertical="center"/>
    </xf>
    <xf numFmtId="164" fontId="27" fillId="15" borderId="90" xfId="0" applyNumberFormat="1" applyFont="1" applyFill="1" applyBorder="1" applyAlignment="1">
      <alignment vertical="center"/>
    </xf>
    <xf numFmtId="164" fontId="25" fillId="15" borderId="96" xfId="0" applyNumberFormat="1" applyFont="1" applyFill="1" applyBorder="1" applyAlignment="1">
      <alignment vertical="center"/>
    </xf>
    <xf numFmtId="164" fontId="9" fillId="15" borderId="97" xfId="0" applyNumberFormat="1" applyFont="1" applyFill="1" applyBorder="1" applyAlignment="1">
      <alignment vertical="center"/>
    </xf>
    <xf numFmtId="164" fontId="24" fillId="15" borderId="98" xfId="0" applyNumberFormat="1" applyFont="1" applyFill="1" applyBorder="1" applyAlignment="1">
      <alignment vertical="center"/>
    </xf>
    <xf numFmtId="164" fontId="9" fillId="15" borderId="91" xfId="0" applyNumberFormat="1" applyFont="1" applyFill="1" applyBorder="1" applyAlignment="1">
      <alignment vertical="center"/>
    </xf>
    <xf numFmtId="164" fontId="26" fillId="13" borderId="96" xfId="0" applyNumberFormat="1" applyFont="1" applyFill="1" applyBorder="1" applyAlignment="1">
      <alignment vertical="center"/>
    </xf>
    <xf numFmtId="164" fontId="27" fillId="15" borderId="97" xfId="0" applyNumberFormat="1" applyFont="1" applyFill="1" applyBorder="1" applyAlignment="1">
      <alignment vertical="center"/>
    </xf>
    <xf numFmtId="164" fontId="38" fillId="13" borderId="98" xfId="0" applyNumberFormat="1" applyFont="1" applyFill="1" applyBorder="1" applyAlignment="1">
      <alignment vertical="center"/>
    </xf>
    <xf numFmtId="164" fontId="27" fillId="15" borderId="91" xfId="0" applyNumberFormat="1" applyFont="1" applyFill="1" applyBorder="1" applyAlignment="1">
      <alignment vertical="center"/>
    </xf>
    <xf numFmtId="164" fontId="21" fillId="14" borderId="97" xfId="0" applyNumberFormat="1" applyFont="1" applyFill="1" applyBorder="1" applyAlignment="1">
      <alignment vertical="center"/>
    </xf>
    <xf numFmtId="164" fontId="12" fillId="14" borderId="97" xfId="0" applyNumberFormat="1" applyFont="1" applyFill="1" applyBorder="1" applyAlignment="1">
      <alignment vertical="center"/>
    </xf>
    <xf numFmtId="164" fontId="21" fillId="14" borderId="91" xfId="0" applyNumberFormat="1" applyFont="1" applyFill="1" applyBorder="1" applyAlignment="1">
      <alignment vertical="center"/>
    </xf>
    <xf numFmtId="164" fontId="12" fillId="14" borderId="86" xfId="0" applyNumberFormat="1" applyFont="1" applyFill="1" applyBorder="1" applyAlignment="1">
      <alignment vertical="center"/>
    </xf>
    <xf numFmtId="164" fontId="12" fillId="14" borderId="99" xfId="0" applyNumberFormat="1" applyFont="1" applyFill="1" applyBorder="1" applyAlignment="1">
      <alignment vertical="center"/>
    </xf>
    <xf numFmtId="164" fontId="21" fillId="14" borderId="87" xfId="0" applyNumberFormat="1" applyFont="1" applyFill="1" applyBorder="1" applyAlignment="1">
      <alignment vertical="center"/>
    </xf>
    <xf numFmtId="164" fontId="21" fillId="14" borderId="100" xfId="0" applyNumberFormat="1" applyFont="1" applyFill="1" applyBorder="1" applyAlignment="1">
      <alignment vertical="center"/>
    </xf>
    <xf numFmtId="164" fontId="12" fillId="14" borderId="90" xfId="0" applyNumberFormat="1" applyFont="1" applyFill="1" applyBorder="1" applyAlignment="1">
      <alignment vertical="center"/>
    </xf>
    <xf numFmtId="164" fontId="12" fillId="14" borderId="101" xfId="0" applyNumberFormat="1" applyFont="1" applyFill="1" applyBorder="1" applyAlignment="1">
      <alignment vertical="center"/>
    </xf>
    <xf numFmtId="164" fontId="21" fillId="14" borderId="90" xfId="0" applyNumberFormat="1" applyFont="1" applyFill="1" applyBorder="1" applyAlignment="1">
      <alignment vertical="center"/>
    </xf>
    <xf numFmtId="0" fontId="0" fillId="15" borderId="96" xfId="0" applyFill="1" applyBorder="1" applyAlignment="1">
      <alignment vertical="center"/>
    </xf>
    <xf numFmtId="164" fontId="33" fillId="15" borderId="97" xfId="0" applyNumberFormat="1" applyFont="1" applyFill="1" applyBorder="1" applyAlignment="1">
      <alignment vertical="center"/>
    </xf>
    <xf numFmtId="164" fontId="0" fillId="15" borderId="97" xfId="0" applyNumberFormat="1" applyFill="1" applyBorder="1" applyAlignment="1">
      <alignment vertical="center"/>
    </xf>
    <xf numFmtId="164" fontId="0" fillId="15" borderId="96" xfId="0" applyNumberFormat="1" applyFill="1" applyBorder="1" applyAlignment="1">
      <alignment vertical="center"/>
    </xf>
    <xf numFmtId="164" fontId="0" fillId="15" borderId="86" xfId="0" applyNumberFormat="1" applyFill="1" applyBorder="1" applyAlignment="1">
      <alignment vertical="center"/>
    </xf>
    <xf numFmtId="164" fontId="0" fillId="15" borderId="99" xfId="0" applyNumberFormat="1" applyFill="1" applyBorder="1" applyAlignment="1">
      <alignment vertical="center"/>
    </xf>
    <xf numFmtId="164" fontId="1" fillId="15" borderId="101" xfId="0" applyNumberFormat="1" applyFont="1" applyFill="1" applyBorder="1" applyAlignment="1">
      <alignment vertical="center"/>
    </xf>
    <xf numFmtId="164" fontId="24" fillId="14" borderId="93" xfId="0" applyNumberFormat="1" applyFont="1" applyFill="1" applyBorder="1" applyAlignment="1">
      <alignment vertical="center"/>
    </xf>
    <xf numFmtId="164" fontId="1" fillId="14" borderId="92" xfId="0" applyNumberFormat="1" applyFont="1" applyFill="1" applyBorder="1" applyAlignment="1">
      <alignment vertical="center"/>
    </xf>
    <xf numFmtId="164" fontId="12" fillId="14" borderId="94" xfId="0" applyNumberFormat="1" applyFont="1" applyFill="1" applyBorder="1" applyAlignment="1">
      <alignment vertical="center"/>
    </xf>
    <xf numFmtId="164" fontId="21" fillId="14" borderId="95" xfId="0" applyNumberFormat="1" applyFont="1" applyFill="1" applyBorder="1" applyAlignment="1">
      <alignment vertical="center"/>
    </xf>
    <xf numFmtId="164" fontId="21" fillId="14" borderId="102" xfId="0" applyNumberFormat="1" applyFont="1" applyFill="1" applyBorder="1" applyAlignment="1">
      <alignment vertical="center"/>
    </xf>
    <xf numFmtId="164" fontId="12" fillId="14" borderId="103" xfId="0" applyNumberFormat="1" applyFont="1" applyFill="1" applyBorder="1" applyAlignment="1">
      <alignment vertical="center"/>
    </xf>
    <xf numFmtId="164" fontId="1" fillId="14" borderId="103" xfId="0" applyNumberFormat="1" applyFont="1" applyFill="1" applyBorder="1" applyAlignment="1">
      <alignment vertical="center"/>
    </xf>
    <xf numFmtId="164" fontId="21" fillId="14" borderId="103" xfId="0" applyNumberFormat="1" applyFont="1" applyFill="1" applyBorder="1" applyAlignment="1">
      <alignment vertical="center"/>
    </xf>
    <xf numFmtId="0" fontId="18" fillId="5" borderId="91" xfId="0" applyFont="1" applyFill="1" applyBorder="1" applyAlignment="1">
      <alignment vertical="center"/>
    </xf>
    <xf numFmtId="0" fontId="18" fillId="5" borderId="96" xfId="0" applyFont="1" applyFill="1" applyBorder="1" applyAlignment="1">
      <alignment vertical="center"/>
    </xf>
    <xf numFmtId="0" fontId="0" fillId="5" borderId="96" xfId="0" applyFill="1" applyBorder="1" applyAlignment="1">
      <alignment vertical="center"/>
    </xf>
    <xf numFmtId="164" fontId="25" fillId="5" borderId="96" xfId="0" applyNumberFormat="1" applyFont="1" applyFill="1" applyBorder="1" applyAlignment="1">
      <alignment vertical="center"/>
    </xf>
    <xf numFmtId="164" fontId="0" fillId="5" borderId="97" xfId="0" applyNumberFormat="1" applyFill="1" applyBorder="1" applyAlignment="1">
      <alignment vertical="center"/>
    </xf>
    <xf numFmtId="164" fontId="24" fillId="5" borderId="98" xfId="0" applyNumberFormat="1" applyFont="1" applyFill="1" applyBorder="1" applyAlignment="1">
      <alignment vertical="center"/>
    </xf>
    <xf numFmtId="164" fontId="0" fillId="5" borderId="96" xfId="0" applyNumberFormat="1" applyFill="1" applyBorder="1" applyAlignment="1">
      <alignment vertical="center"/>
    </xf>
    <xf numFmtId="164" fontId="0" fillId="5" borderId="86" xfId="0" applyNumberFormat="1" applyFill="1" applyBorder="1" applyAlignment="1">
      <alignment vertical="center"/>
    </xf>
    <xf numFmtId="164" fontId="0" fillId="5" borderId="99" xfId="0" applyNumberFormat="1" applyFill="1" applyBorder="1" applyAlignment="1">
      <alignment vertical="center"/>
    </xf>
    <xf numFmtId="164" fontId="0" fillId="5" borderId="100" xfId="0" applyNumberFormat="1" applyFill="1" applyBorder="1" applyAlignment="1">
      <alignment vertical="center"/>
    </xf>
    <xf numFmtId="164" fontId="0" fillId="5" borderId="87" xfId="0" applyNumberFormat="1" applyFill="1" applyBorder="1" applyAlignment="1">
      <alignment vertical="center"/>
    </xf>
    <xf numFmtId="164" fontId="0" fillId="5" borderId="101" xfId="0" applyNumberFormat="1" applyFill="1" applyBorder="1" applyAlignment="1">
      <alignment vertical="center"/>
    </xf>
    <xf numFmtId="164" fontId="0" fillId="5" borderId="90" xfId="0" applyNumberFormat="1" applyFill="1" applyBorder="1" applyAlignment="1">
      <alignment vertical="center"/>
    </xf>
    <xf numFmtId="0" fontId="0" fillId="9" borderId="90" xfId="0" applyFill="1" applyBorder="1" applyAlignment="1">
      <alignment vertical="center"/>
    </xf>
    <xf numFmtId="0" fontId="0" fillId="9" borderId="91" xfId="0" applyFill="1" applyBorder="1" applyAlignment="1">
      <alignment vertical="center"/>
    </xf>
    <xf numFmtId="164" fontId="25" fillId="9" borderId="96" xfId="0" applyNumberFormat="1" applyFont="1" applyFill="1" applyBorder="1" applyAlignment="1">
      <alignment vertical="center"/>
    </xf>
    <xf numFmtId="164" fontId="18" fillId="9" borderId="97" xfId="0" applyNumberFormat="1" applyFont="1" applyFill="1" applyBorder="1" applyAlignment="1">
      <alignment vertical="center"/>
    </xf>
    <xf numFmtId="164" fontId="24" fillId="9" borderId="98" xfId="0" applyNumberFormat="1" applyFont="1" applyFill="1" applyBorder="1" applyAlignment="1">
      <alignment vertical="center"/>
    </xf>
    <xf numFmtId="164" fontId="24" fillId="9" borderId="97" xfId="0" applyNumberFormat="1" applyFont="1" applyFill="1" applyBorder="1" applyAlignment="1">
      <alignment vertical="center"/>
    </xf>
    <xf numFmtId="164" fontId="9" fillId="9" borderId="91" xfId="0" applyNumberFormat="1" applyFont="1" applyFill="1" applyBorder="1" applyAlignment="1">
      <alignment vertical="center"/>
    </xf>
    <xf numFmtId="164" fontId="24" fillId="9" borderId="86" xfId="0" applyNumberFormat="1" applyFont="1" applyFill="1" applyBorder="1" applyAlignment="1">
      <alignment vertical="center"/>
    </xf>
    <xf numFmtId="164" fontId="24" fillId="9" borderId="99" xfId="0" applyNumberFormat="1" applyFont="1" applyFill="1" applyBorder="1" applyAlignment="1">
      <alignment vertical="center"/>
    </xf>
    <xf numFmtId="164" fontId="0" fillId="9" borderId="87" xfId="0" applyNumberFormat="1" applyFill="1" applyBorder="1" applyAlignment="1">
      <alignment vertical="center"/>
    </xf>
    <xf numFmtId="164" fontId="0" fillId="9" borderId="100" xfId="0" applyNumberFormat="1" applyFill="1" applyBorder="1" applyAlignment="1">
      <alignment vertical="center"/>
    </xf>
    <xf numFmtId="164" fontId="0" fillId="9" borderId="101" xfId="0" applyNumberFormat="1" applyFill="1" applyBorder="1" applyAlignment="1">
      <alignment vertical="center"/>
    </xf>
    <xf numFmtId="164" fontId="0" fillId="9" borderId="90" xfId="0" applyNumberFormat="1" applyFill="1" applyBorder="1" applyAlignment="1">
      <alignment vertical="center"/>
    </xf>
    <xf numFmtId="0" fontId="57" fillId="9" borderId="90" xfId="0" applyFont="1" applyFill="1" applyBorder="1" applyAlignment="1">
      <alignment vertical="center"/>
    </xf>
    <xf numFmtId="164" fontId="9" fillId="9" borderId="97" xfId="0" applyNumberFormat="1" applyFont="1" applyFill="1" applyBorder="1" applyAlignment="1">
      <alignment vertical="center"/>
    </xf>
    <xf numFmtId="164" fontId="24" fillId="12" borderId="86" xfId="0" applyNumberFormat="1" applyFont="1" applyFill="1" applyBorder="1" applyAlignment="1">
      <alignment vertical="center"/>
    </xf>
    <xf numFmtId="164" fontId="24" fillId="12" borderId="99" xfId="0" applyNumberFormat="1" applyFont="1" applyFill="1" applyBorder="1" applyAlignment="1">
      <alignment vertical="center"/>
    </xf>
    <xf numFmtId="164" fontId="9" fillId="9" borderId="87" xfId="0" applyNumberFormat="1" applyFont="1" applyFill="1" applyBorder="1" applyAlignment="1">
      <alignment vertical="center"/>
    </xf>
    <xf numFmtId="164" fontId="9" fillId="9" borderId="100" xfId="0" applyNumberFormat="1" applyFont="1" applyFill="1" applyBorder="1" applyAlignment="1">
      <alignment vertical="center"/>
    </xf>
    <xf numFmtId="164" fontId="9" fillId="9" borderId="90" xfId="0" applyNumberFormat="1" applyFont="1" applyFill="1" applyBorder="1" applyAlignment="1">
      <alignment vertical="center"/>
    </xf>
    <xf numFmtId="164" fontId="9" fillId="9" borderId="99" xfId="0" applyNumberFormat="1" applyFont="1" applyFill="1" applyBorder="1" applyAlignment="1">
      <alignment vertical="center"/>
    </xf>
    <xf numFmtId="0" fontId="1" fillId="10" borderId="90" xfId="0" applyFont="1" applyFill="1" applyBorder="1" applyAlignment="1">
      <alignment vertical="center"/>
    </xf>
    <xf numFmtId="0" fontId="1" fillId="10" borderId="91" xfId="0" applyFont="1" applyFill="1" applyBorder="1" applyAlignment="1">
      <alignment vertical="center"/>
    </xf>
    <xf numFmtId="164" fontId="25" fillId="10" borderId="96" xfId="0" applyNumberFormat="1" applyFont="1" applyFill="1" applyBorder="1" applyAlignment="1">
      <alignment vertical="center"/>
    </xf>
    <xf numFmtId="164" fontId="9" fillId="10" borderId="97" xfId="0" applyNumberFormat="1" applyFont="1" applyFill="1" applyBorder="1" applyAlignment="1">
      <alignment vertical="center"/>
    </xf>
    <xf numFmtId="164" fontId="24" fillId="10" borderId="98" xfId="0" applyNumberFormat="1" applyFont="1" applyFill="1" applyBorder="1" applyAlignment="1">
      <alignment vertical="center"/>
    </xf>
    <xf numFmtId="164" fontId="9" fillId="10" borderId="91" xfId="0" applyNumberFormat="1" applyFont="1" applyFill="1" applyBorder="1" applyAlignment="1">
      <alignment vertical="center"/>
    </xf>
    <xf numFmtId="164" fontId="9" fillId="10" borderId="86" xfId="0" applyNumberFormat="1" applyFont="1" applyFill="1" applyBorder="1" applyAlignment="1">
      <alignment vertical="center"/>
    </xf>
    <xf numFmtId="164" fontId="9" fillId="10" borderId="99" xfId="0" applyNumberFormat="1" applyFont="1" applyFill="1" applyBorder="1" applyAlignment="1">
      <alignment vertical="center"/>
    </xf>
    <xf numFmtId="164" fontId="9" fillId="10" borderId="87" xfId="0" applyNumberFormat="1" applyFont="1" applyFill="1" applyBorder="1" applyAlignment="1">
      <alignment vertical="center"/>
    </xf>
    <xf numFmtId="164" fontId="9" fillId="10" borderId="100" xfId="0" applyNumberFormat="1" applyFont="1" applyFill="1" applyBorder="1" applyAlignment="1">
      <alignment vertical="center"/>
    </xf>
    <xf numFmtId="164" fontId="0" fillId="10" borderId="101" xfId="0" applyNumberFormat="1" applyFill="1" applyBorder="1" applyAlignment="1">
      <alignment vertical="center"/>
    </xf>
    <xf numFmtId="164" fontId="0" fillId="10" borderId="90" xfId="0" applyNumberFormat="1" applyFill="1" applyBorder="1" applyAlignment="1">
      <alignment vertical="center"/>
    </xf>
    <xf numFmtId="164" fontId="9" fillId="10" borderId="90" xfId="0" applyNumberFormat="1" applyFont="1" applyFill="1" applyBorder="1" applyAlignment="1">
      <alignment vertical="center"/>
    </xf>
    <xf numFmtId="164" fontId="18" fillId="9" borderId="91" xfId="0" applyNumberFormat="1" applyFont="1" applyFill="1" applyBorder="1" applyAlignment="1">
      <alignment vertical="center"/>
    </xf>
    <xf numFmtId="164" fontId="24" fillId="10" borderId="97" xfId="0" applyNumberFormat="1" applyFont="1" applyFill="1" applyBorder="1" applyAlignment="1">
      <alignment vertical="center"/>
    </xf>
    <xf numFmtId="164" fontId="24" fillId="10" borderId="91" xfId="0" applyNumberFormat="1" applyFont="1" applyFill="1" applyBorder="1" applyAlignment="1">
      <alignment vertical="center"/>
    </xf>
    <xf numFmtId="164" fontId="24" fillId="10" borderId="86" xfId="0" applyNumberFormat="1" applyFont="1" applyFill="1" applyBorder="1" applyAlignment="1">
      <alignment vertical="center"/>
    </xf>
    <xf numFmtId="164" fontId="24" fillId="10" borderId="99" xfId="0" applyNumberFormat="1" applyFont="1" applyFill="1" applyBorder="1" applyAlignment="1">
      <alignment vertical="center"/>
    </xf>
    <xf numFmtId="164" fontId="24" fillId="10" borderId="87" xfId="0" applyNumberFormat="1" applyFont="1" applyFill="1" applyBorder="1" applyAlignment="1">
      <alignment vertical="center"/>
    </xf>
    <xf numFmtId="164" fontId="24" fillId="10" borderId="100" xfId="0" applyNumberFormat="1" applyFont="1" applyFill="1" applyBorder="1" applyAlignment="1">
      <alignment vertical="center"/>
    </xf>
    <xf numFmtId="164" fontId="1" fillId="10" borderId="101" xfId="0" applyNumberFormat="1" applyFont="1" applyFill="1" applyBorder="1" applyAlignment="1">
      <alignment vertical="center"/>
    </xf>
    <xf numFmtId="164" fontId="1" fillId="10" borderId="90" xfId="0" applyNumberFormat="1" applyFont="1" applyFill="1" applyBorder="1" applyAlignment="1">
      <alignment vertical="center"/>
    </xf>
    <xf numFmtId="164" fontId="24" fillId="10" borderId="90" xfId="0" applyNumberFormat="1" applyFont="1" applyFill="1" applyBorder="1" applyAlignment="1">
      <alignment vertical="center"/>
    </xf>
    <xf numFmtId="164" fontId="9" fillId="9" borderId="101" xfId="0" applyNumberFormat="1" applyFont="1" applyFill="1" applyBorder="1" applyAlignment="1">
      <alignment vertical="center"/>
    </xf>
    <xf numFmtId="0" fontId="24" fillId="10" borderId="90" xfId="0" applyFont="1" applyFill="1" applyBorder="1" applyAlignment="1">
      <alignment vertical="center"/>
    </xf>
    <xf numFmtId="0" fontId="24" fillId="10" borderId="91" xfId="0" applyFont="1" applyFill="1" applyBorder="1" applyAlignment="1">
      <alignment vertical="center"/>
    </xf>
    <xf numFmtId="164" fontId="1" fillId="5" borderId="97" xfId="0" applyNumberFormat="1" applyFont="1" applyFill="1" applyBorder="1" applyAlignment="1">
      <alignment vertical="center"/>
    </xf>
    <xf numFmtId="164" fontId="1" fillId="5" borderId="91" xfId="0" applyNumberFormat="1" applyFont="1" applyFill="1" applyBorder="1" applyAlignment="1">
      <alignment vertical="center"/>
    </xf>
    <xf numFmtId="164" fontId="1" fillId="5" borderId="86" xfId="0" applyNumberFormat="1" applyFont="1" applyFill="1" applyBorder="1" applyAlignment="1">
      <alignment vertical="center"/>
    </xf>
    <xf numFmtId="164" fontId="1" fillId="5" borderId="99" xfId="0" applyNumberFormat="1" applyFont="1" applyFill="1" applyBorder="1" applyAlignment="1">
      <alignment vertical="center"/>
    </xf>
    <xf numFmtId="164" fontId="1" fillId="5" borderId="87" xfId="0" applyNumberFormat="1" applyFont="1" applyFill="1" applyBorder="1" applyAlignment="1">
      <alignment vertical="center"/>
    </xf>
    <xf numFmtId="164" fontId="1" fillId="5" borderId="100" xfId="0" applyNumberFormat="1" applyFont="1" applyFill="1" applyBorder="1" applyAlignment="1">
      <alignment vertical="center"/>
    </xf>
    <xf numFmtId="164" fontId="1" fillId="5" borderId="101" xfId="0" applyNumberFormat="1" applyFont="1" applyFill="1" applyBorder="1" applyAlignment="1">
      <alignment vertical="center"/>
    </xf>
    <xf numFmtId="164" fontId="1" fillId="5" borderId="90" xfId="0" applyNumberFormat="1" applyFont="1" applyFill="1" applyBorder="1" applyAlignment="1">
      <alignment vertical="center"/>
    </xf>
    <xf numFmtId="164" fontId="1" fillId="10" borderId="97" xfId="0" applyNumberFormat="1" applyFont="1" applyFill="1" applyBorder="1" applyAlignment="1">
      <alignment vertical="center"/>
    </xf>
    <xf numFmtId="164" fontId="1" fillId="10" borderId="91" xfId="0" applyNumberFormat="1" applyFont="1" applyFill="1" applyBorder="1" applyAlignment="1">
      <alignment vertical="center"/>
    </xf>
    <xf numFmtId="164" fontId="1" fillId="10" borderId="86" xfId="0" applyNumberFormat="1" applyFont="1" applyFill="1" applyBorder="1" applyAlignment="1">
      <alignment vertical="center"/>
    </xf>
    <xf numFmtId="164" fontId="1" fillId="10" borderId="99" xfId="0" applyNumberFormat="1" applyFont="1" applyFill="1" applyBorder="1" applyAlignment="1">
      <alignment vertical="center"/>
    </xf>
    <xf numFmtId="164" fontId="1" fillId="10" borderId="87" xfId="0" applyNumberFormat="1" applyFont="1" applyFill="1" applyBorder="1" applyAlignment="1">
      <alignment vertical="center"/>
    </xf>
    <xf numFmtId="164" fontId="1" fillId="10" borderId="100" xfId="0" applyNumberFormat="1" applyFont="1" applyFill="1" applyBorder="1" applyAlignment="1">
      <alignment vertical="center"/>
    </xf>
    <xf numFmtId="164" fontId="24" fillId="10" borderId="101" xfId="0" applyNumberFormat="1" applyFont="1" applyFill="1" applyBorder="1" applyAlignment="1">
      <alignment vertical="center"/>
    </xf>
    <xf numFmtId="0" fontId="0" fillId="11" borderId="90" xfId="0" applyFill="1" applyBorder="1" applyAlignment="1">
      <alignment vertical="center"/>
    </xf>
    <xf numFmtId="0" fontId="30" fillId="9" borderId="104" xfId="8" applyFill="1" applyBorder="1" applyAlignment="1">
      <alignment vertical="center"/>
    </xf>
    <xf numFmtId="0" fontId="30" fillId="9" borderId="105" xfId="8" applyFill="1" applyBorder="1" applyAlignment="1">
      <alignment vertical="center"/>
    </xf>
    <xf numFmtId="164" fontId="25" fillId="9" borderId="106" xfId="0" applyNumberFormat="1" applyFont="1" applyFill="1" applyBorder="1" applyAlignment="1">
      <alignment vertical="center"/>
    </xf>
    <xf numFmtId="164" fontId="24" fillId="9" borderId="107" xfId="0" applyNumberFormat="1" applyFont="1" applyFill="1" applyBorder="1" applyAlignment="1">
      <alignment vertical="center"/>
    </xf>
    <xf numFmtId="164" fontId="9" fillId="9" borderId="108" xfId="0" applyNumberFormat="1" applyFont="1" applyFill="1" applyBorder="1" applyAlignment="1">
      <alignment vertical="center"/>
    </xf>
    <xf numFmtId="164" fontId="9" fillId="9" borderId="89" xfId="0" applyNumberFormat="1" applyFont="1" applyFill="1" applyBorder="1" applyAlignment="1">
      <alignment vertical="center"/>
    </xf>
    <xf numFmtId="168" fontId="9" fillId="9" borderId="109" xfId="9" applyNumberFormat="1" applyFont="1" applyFill="1" applyBorder="1"/>
    <xf numFmtId="0" fontId="30" fillId="9" borderId="110" xfId="8" applyFill="1" applyBorder="1" applyAlignment="1">
      <alignment vertical="center"/>
    </xf>
    <xf numFmtId="0" fontId="30" fillId="9" borderId="111" xfId="8" applyFill="1" applyBorder="1" applyAlignment="1">
      <alignment vertical="center"/>
    </xf>
    <xf numFmtId="164" fontId="25" fillId="9" borderId="112" xfId="0" applyNumberFormat="1" applyFont="1" applyFill="1" applyBorder="1" applyAlignment="1">
      <alignment vertical="center"/>
    </xf>
    <xf numFmtId="164" fontId="24" fillId="9" borderId="113" xfId="0" applyNumberFormat="1" applyFont="1" applyFill="1" applyBorder="1" applyAlignment="1">
      <alignment vertical="center"/>
    </xf>
    <xf numFmtId="168" fontId="9" fillId="9" borderId="114" xfId="9" applyNumberFormat="1" applyFont="1" applyFill="1" applyBorder="1"/>
    <xf numFmtId="0" fontId="30" fillId="9" borderId="115" xfId="8" applyFill="1" applyBorder="1" applyAlignment="1">
      <alignment vertical="center"/>
    </xf>
    <xf numFmtId="0" fontId="30" fillId="9" borderId="116" xfId="8" applyFill="1" applyBorder="1" applyAlignment="1">
      <alignment vertical="center"/>
    </xf>
    <xf numFmtId="164" fontId="25" fillId="9" borderId="117" xfId="0" applyNumberFormat="1" applyFont="1" applyFill="1" applyBorder="1" applyAlignment="1">
      <alignment vertical="center"/>
    </xf>
    <xf numFmtId="164" fontId="24" fillId="9" borderId="118" xfId="0" applyNumberFormat="1" applyFont="1" applyFill="1" applyBorder="1" applyAlignment="1">
      <alignment vertical="center"/>
    </xf>
    <xf numFmtId="164" fontId="9" fillId="9" borderId="102" xfId="0" applyNumberFormat="1" applyFont="1" applyFill="1" applyBorder="1" applyAlignment="1">
      <alignment vertical="center"/>
    </xf>
    <xf numFmtId="164" fontId="9" fillId="9" borderId="95" xfId="0" applyNumberFormat="1" applyFont="1" applyFill="1" applyBorder="1" applyAlignment="1">
      <alignment vertical="center"/>
    </xf>
    <xf numFmtId="168" fontId="9" fillId="9" borderId="119" xfId="9" applyNumberFormat="1" applyFont="1" applyFill="1" applyBorder="1"/>
    <xf numFmtId="0" fontId="30" fillId="9" borderId="90" xfId="8" applyFill="1" applyBorder="1" applyAlignment="1">
      <alignment vertical="center"/>
    </xf>
    <xf numFmtId="0" fontId="30" fillId="9" borderId="82" xfId="8" applyFill="1" applyBorder="1" applyAlignment="1">
      <alignment vertical="center"/>
    </xf>
    <xf numFmtId="168" fontId="9" fillId="9" borderId="120" xfId="9" applyNumberFormat="1" applyFont="1" applyFill="1" applyBorder="1"/>
    <xf numFmtId="168" fontId="47" fillId="9" borderId="120" xfId="9" applyNumberFormat="1" applyFont="1" applyFill="1" applyBorder="1"/>
    <xf numFmtId="164" fontId="0" fillId="10" borderId="121" xfId="0" applyNumberFormat="1" applyFill="1" applyBorder="1" applyAlignment="1">
      <alignment vertical="center"/>
    </xf>
    <xf numFmtId="164" fontId="0" fillId="10" borderId="82" xfId="0" applyNumberFormat="1" applyFill="1" applyBorder="1" applyAlignment="1">
      <alignment vertical="center"/>
    </xf>
    <xf numFmtId="164" fontId="0" fillId="10" borderId="122" xfId="0" applyNumberFormat="1" applyFill="1" applyBorder="1" applyAlignment="1">
      <alignment vertical="center"/>
    </xf>
    <xf numFmtId="164" fontId="0" fillId="10" borderId="123" xfId="0" applyNumberFormat="1" applyFill="1" applyBorder="1" applyAlignment="1">
      <alignment vertical="center"/>
    </xf>
    <xf numFmtId="164" fontId="0" fillId="9" borderId="121" xfId="0" applyNumberFormat="1" applyFill="1" applyBorder="1" applyAlignment="1">
      <alignment vertical="center"/>
    </xf>
    <xf numFmtId="164" fontId="0" fillId="9" borderId="82" xfId="0" applyNumberFormat="1" applyFill="1" applyBorder="1" applyAlignment="1">
      <alignment vertical="center"/>
    </xf>
    <xf numFmtId="0" fontId="59" fillId="9" borderId="110" xfId="8" applyFont="1" applyFill="1" applyBorder="1" applyAlignment="1">
      <alignment vertical="center"/>
    </xf>
    <xf numFmtId="164" fontId="9" fillId="9" borderId="124" xfId="0" applyNumberFormat="1" applyFont="1" applyFill="1" applyBorder="1" applyAlignment="1">
      <alignment vertical="center"/>
    </xf>
    <xf numFmtId="164" fontId="18" fillId="10" borderId="120" xfId="0" applyNumberFormat="1" applyFont="1" applyFill="1" applyBorder="1" applyAlignment="1">
      <alignment vertical="center"/>
    </xf>
    <xf numFmtId="164" fontId="18" fillId="10" borderId="125" xfId="0" applyNumberFormat="1" applyFont="1" applyFill="1" applyBorder="1" applyAlignment="1">
      <alignment vertical="center"/>
    </xf>
    <xf numFmtId="164" fontId="9" fillId="10" borderId="120" xfId="0" applyNumberFormat="1" applyFont="1" applyFill="1" applyBorder="1" applyAlignment="1">
      <alignment vertical="center"/>
    </xf>
    <xf numFmtId="164" fontId="37" fillId="9" borderId="120" xfId="0" applyNumberFormat="1" applyFont="1" applyFill="1" applyBorder="1" applyAlignment="1">
      <alignment vertical="center"/>
    </xf>
    <xf numFmtId="0" fontId="58" fillId="9" borderId="125" xfId="0" applyFont="1" applyFill="1" applyBorder="1" applyAlignment="1">
      <alignment vertical="center"/>
    </xf>
    <xf numFmtId="0" fontId="0" fillId="10" borderId="125" xfId="0" quotePrefix="1" applyFill="1" applyBorder="1" applyAlignment="1">
      <alignment vertical="center"/>
    </xf>
    <xf numFmtId="0" fontId="0" fillId="10" borderId="125" xfId="0" applyFill="1" applyBorder="1" applyAlignment="1">
      <alignment vertical="center"/>
    </xf>
    <xf numFmtId="0" fontId="0" fillId="10" borderId="82" xfId="0" applyFill="1" applyBorder="1" applyAlignment="1">
      <alignment vertical="center"/>
    </xf>
    <xf numFmtId="164" fontId="19" fillId="10" borderId="125" xfId="0" applyNumberFormat="1" applyFont="1" applyFill="1" applyBorder="1" applyAlignment="1">
      <alignment vertical="center"/>
    </xf>
    <xf numFmtId="164" fontId="19" fillId="10" borderId="120" xfId="0" applyNumberFormat="1" applyFont="1" applyFill="1" applyBorder="1" applyAlignment="1">
      <alignment vertical="center"/>
    </xf>
    <xf numFmtId="0" fontId="9" fillId="9" borderId="125" xfId="0" quotePrefix="1" applyFont="1" applyFill="1" applyBorder="1" applyAlignment="1">
      <alignment vertical="center"/>
    </xf>
    <xf numFmtId="0" fontId="9" fillId="9" borderId="125" xfId="0" applyFont="1" applyFill="1" applyBorder="1" applyAlignment="1">
      <alignment vertical="center"/>
    </xf>
    <xf numFmtId="0" fontId="9" fillId="9" borderId="82" xfId="0" applyFont="1" applyFill="1" applyBorder="1" applyAlignment="1">
      <alignment vertical="center"/>
    </xf>
    <xf numFmtId="0" fontId="1" fillId="9" borderId="125" xfId="0" applyFont="1" applyFill="1" applyBorder="1" applyAlignment="1">
      <alignment vertical="center"/>
    </xf>
    <xf numFmtId="164" fontId="0" fillId="9" borderId="126" xfId="0" applyNumberFormat="1" applyFill="1" applyBorder="1" applyAlignment="1">
      <alignment vertical="center"/>
    </xf>
    <xf numFmtId="164" fontId="0" fillId="9" borderId="83" xfId="0" applyNumberFormat="1" applyFill="1" applyBorder="1" applyAlignment="1">
      <alignment vertical="center"/>
    </xf>
    <xf numFmtId="164" fontId="1" fillId="9" borderId="121" xfId="0" applyNumberFormat="1" applyFont="1" applyFill="1" applyBorder="1" applyAlignment="1">
      <alignment vertical="center"/>
    </xf>
    <xf numFmtId="164" fontId="1" fillId="9" borderId="124" xfId="0" applyNumberFormat="1" applyFont="1" applyFill="1" applyBorder="1" applyAlignment="1">
      <alignment vertical="center"/>
    </xf>
    <xf numFmtId="0" fontId="0" fillId="5" borderId="82" xfId="0" applyFill="1" applyBorder="1" applyAlignment="1">
      <alignment vertical="center"/>
    </xf>
    <xf numFmtId="164" fontId="1" fillId="5" borderId="126" xfId="0" applyNumberFormat="1" applyFont="1" applyFill="1" applyBorder="1" applyAlignment="1">
      <alignment vertical="center"/>
    </xf>
    <xf numFmtId="164" fontId="0" fillId="10" borderId="124" xfId="0" applyNumberFormat="1" applyFill="1" applyBorder="1" applyAlignment="1">
      <alignment vertical="center"/>
    </xf>
    <xf numFmtId="164" fontId="0" fillId="10" borderId="83" xfId="0" applyNumberFormat="1" applyFill="1" applyBorder="1" applyAlignment="1">
      <alignment vertical="center"/>
    </xf>
    <xf numFmtId="0" fontId="32" fillId="9" borderId="111" xfId="8" applyFont="1" applyFill="1" applyBorder="1" applyAlignment="1">
      <alignment vertical="center"/>
    </xf>
    <xf numFmtId="0" fontId="30" fillId="9" borderId="112" xfId="8" applyFill="1" applyBorder="1" applyAlignment="1">
      <alignment vertical="center"/>
    </xf>
    <xf numFmtId="0" fontId="32" fillId="9" borderId="112" xfId="8" applyFont="1" applyFill="1" applyBorder="1" applyAlignment="1">
      <alignment vertical="center"/>
    </xf>
    <xf numFmtId="0" fontId="57" fillId="9" borderId="82" xfId="0" applyFont="1" applyFill="1" applyBorder="1" applyAlignment="1">
      <alignment vertical="center"/>
    </xf>
    <xf numFmtId="0" fontId="48" fillId="9" borderId="90" xfId="0" applyFont="1" applyFill="1" applyBorder="1" applyAlignment="1">
      <alignment vertical="center"/>
    </xf>
    <xf numFmtId="0" fontId="48" fillId="10" borderId="90" xfId="0" applyFont="1" applyFill="1" applyBorder="1" applyAlignment="1">
      <alignment vertical="center"/>
    </xf>
    <xf numFmtId="164" fontId="24" fillId="5" borderId="83" xfId="0" applyNumberFormat="1" applyFont="1" applyFill="1" applyBorder="1" applyAlignment="1">
      <alignment vertical="center"/>
    </xf>
    <xf numFmtId="164" fontId="9" fillId="5" borderId="97" xfId="0" applyNumberFormat="1" applyFont="1" applyFill="1" applyBorder="1" applyAlignment="1">
      <alignment vertical="center"/>
    </xf>
    <xf numFmtId="164" fontId="9" fillId="5" borderId="86" xfId="0" applyNumberFormat="1" applyFont="1" applyFill="1" applyBorder="1" applyAlignment="1">
      <alignment vertical="center"/>
    </xf>
    <xf numFmtId="164" fontId="9" fillId="5" borderId="83" xfId="0" applyNumberFormat="1" applyFont="1" applyFill="1" applyBorder="1" applyAlignment="1">
      <alignment vertical="center"/>
    </xf>
    <xf numFmtId="0" fontId="33" fillId="9" borderId="82" xfId="0" applyFont="1" applyFill="1" applyBorder="1" applyAlignment="1">
      <alignment vertical="center"/>
    </xf>
    <xf numFmtId="164" fontId="24" fillId="9" borderId="83" xfId="0" applyNumberFormat="1" applyFont="1" applyFill="1" applyBorder="1" applyAlignment="1">
      <alignment vertical="center"/>
    </xf>
    <xf numFmtId="164" fontId="0" fillId="9" borderId="120" xfId="0" applyNumberFormat="1" applyFill="1" applyBorder="1" applyAlignment="1">
      <alignment vertical="center"/>
    </xf>
    <xf numFmtId="0" fontId="0" fillId="0" borderId="90" xfId="0" applyBorder="1" applyAlignment="1">
      <alignment vertical="center"/>
    </xf>
    <xf numFmtId="0" fontId="0" fillId="0" borderId="82" xfId="0" applyBorder="1" applyAlignment="1">
      <alignment vertical="center"/>
    </xf>
    <xf numFmtId="164" fontId="25" fillId="0" borderId="126" xfId="0" applyNumberFormat="1" applyFont="1" applyBorder="1" applyAlignment="1">
      <alignment vertical="center"/>
    </xf>
    <xf numFmtId="164" fontId="0" fillId="0" borderId="97" xfId="0" applyNumberFormat="1" applyBorder="1" applyAlignment="1">
      <alignment vertical="center"/>
    </xf>
    <xf numFmtId="164" fontId="24" fillId="0" borderId="127" xfId="0" applyNumberFormat="1" applyFont="1" applyBorder="1" applyAlignment="1">
      <alignment vertical="center"/>
    </xf>
    <xf numFmtId="164" fontId="1" fillId="0" borderId="97" xfId="0" applyNumberFormat="1" applyFont="1" applyBorder="1" applyAlignment="1">
      <alignment vertical="center"/>
    </xf>
    <xf numFmtId="164" fontId="0" fillId="0" borderId="82" xfId="0" applyNumberFormat="1" applyBorder="1" applyAlignment="1">
      <alignment vertical="center"/>
    </xf>
    <xf numFmtId="164" fontId="1" fillId="0" borderId="86" xfId="0" applyNumberFormat="1" applyFont="1" applyBorder="1" applyAlignment="1">
      <alignment vertical="center"/>
    </xf>
    <xf numFmtId="164" fontId="1" fillId="0" borderId="83" xfId="0" applyNumberFormat="1" applyFont="1" applyBorder="1" applyAlignment="1">
      <alignment vertical="center"/>
    </xf>
    <xf numFmtId="164" fontId="0" fillId="0" borderId="87" xfId="0" applyNumberFormat="1" applyBorder="1" applyAlignment="1">
      <alignment vertical="center"/>
    </xf>
    <xf numFmtId="164" fontId="0" fillId="0" borderId="100" xfId="0" applyNumberFormat="1" applyBorder="1" applyAlignment="1">
      <alignment vertical="center"/>
    </xf>
    <xf numFmtId="164" fontId="0" fillId="0" borderId="120" xfId="0" applyNumberFormat="1" applyBorder="1" applyAlignment="1">
      <alignment vertical="center"/>
    </xf>
    <xf numFmtId="164" fontId="0" fillId="0" borderId="90" xfId="0" applyNumberFormat="1" applyBorder="1" applyAlignment="1">
      <alignment vertical="center"/>
    </xf>
    <xf numFmtId="164" fontId="20" fillId="5" borderId="126" xfId="0" applyNumberFormat="1" applyFont="1" applyFill="1" applyBorder="1" applyAlignment="1">
      <alignment vertical="center"/>
    </xf>
    <xf numFmtId="164" fontId="21" fillId="5" borderId="97" xfId="0" applyNumberFormat="1" applyFont="1" applyFill="1" applyBorder="1" applyAlignment="1">
      <alignment vertical="center"/>
    </xf>
    <xf numFmtId="164" fontId="12" fillId="5" borderId="97" xfId="0" applyNumberFormat="1" applyFont="1" applyFill="1" applyBorder="1" applyAlignment="1">
      <alignment vertical="center"/>
    </xf>
    <xf numFmtId="164" fontId="21" fillId="5" borderId="126" xfId="0" applyNumberFormat="1" applyFont="1" applyFill="1" applyBorder="1" applyAlignment="1">
      <alignment vertical="center"/>
    </xf>
    <xf numFmtId="164" fontId="12" fillId="5" borderId="86" xfId="0" applyNumberFormat="1" applyFont="1" applyFill="1" applyBorder="1" applyAlignment="1">
      <alignment vertical="center"/>
    </xf>
    <xf numFmtId="164" fontId="12" fillId="5" borderId="83" xfId="0" applyNumberFormat="1" applyFont="1" applyFill="1" applyBorder="1" applyAlignment="1">
      <alignment vertical="center"/>
    </xf>
    <xf numFmtId="164" fontId="21" fillId="5" borderId="83" xfId="0" applyNumberFormat="1" applyFont="1" applyFill="1" applyBorder="1" applyAlignment="1">
      <alignment vertical="center"/>
    </xf>
    <xf numFmtId="164" fontId="21" fillId="5" borderId="100" xfId="0" applyNumberFormat="1" applyFont="1" applyFill="1" applyBorder="1" applyAlignment="1">
      <alignment vertical="center"/>
    </xf>
    <xf numFmtId="164" fontId="21" fillId="5" borderId="87" xfId="0" applyNumberFormat="1" applyFont="1" applyFill="1" applyBorder="1" applyAlignment="1">
      <alignment vertical="center"/>
    </xf>
    <xf numFmtId="164" fontId="12" fillId="5" borderId="120" xfId="0" applyNumberFormat="1" applyFont="1" applyFill="1" applyBorder="1" applyAlignment="1">
      <alignment vertical="center"/>
    </xf>
    <xf numFmtId="164" fontId="21" fillId="5" borderId="120" xfId="0" applyNumberFormat="1" applyFont="1" applyFill="1" applyBorder="1" applyAlignment="1">
      <alignment vertical="center"/>
    </xf>
    <xf numFmtId="0" fontId="18" fillId="15" borderId="126" xfId="0" applyFont="1" applyFill="1" applyBorder="1" applyAlignment="1">
      <alignment vertical="center"/>
    </xf>
    <xf numFmtId="164" fontId="20" fillId="15" borderId="126" xfId="0" applyNumberFormat="1" applyFont="1" applyFill="1" applyBorder="1" applyAlignment="1">
      <alignment vertical="center"/>
    </xf>
    <xf numFmtId="164" fontId="21" fillId="15" borderId="97" xfId="0" applyNumberFormat="1" applyFont="1" applyFill="1" applyBorder="1" applyAlignment="1">
      <alignment vertical="center"/>
    </xf>
    <xf numFmtId="164" fontId="24" fillId="15" borderId="127" xfId="0" applyNumberFormat="1" applyFont="1" applyFill="1" applyBorder="1" applyAlignment="1">
      <alignment vertical="center"/>
    </xf>
    <xf numFmtId="164" fontId="12" fillId="15" borderId="97" xfId="0" applyNumberFormat="1" applyFont="1" applyFill="1" applyBorder="1" applyAlignment="1">
      <alignment vertical="center"/>
    </xf>
    <xf numFmtId="164" fontId="21" fillId="15" borderId="126" xfId="0" applyNumberFormat="1" applyFont="1" applyFill="1" applyBorder="1" applyAlignment="1">
      <alignment vertical="center"/>
    </xf>
    <xf numFmtId="164" fontId="12" fillId="15" borderId="86" xfId="0" applyNumberFormat="1" applyFont="1" applyFill="1" applyBorder="1" applyAlignment="1">
      <alignment vertical="center"/>
    </xf>
    <xf numFmtId="164" fontId="12" fillId="15" borderId="83" xfId="0" applyNumberFormat="1" applyFont="1" applyFill="1" applyBorder="1" applyAlignment="1">
      <alignment vertical="center"/>
    </xf>
    <xf numFmtId="164" fontId="21" fillId="15" borderId="83" xfId="0" applyNumberFormat="1" applyFont="1" applyFill="1" applyBorder="1" applyAlignment="1">
      <alignment vertical="center"/>
    </xf>
    <xf numFmtId="164" fontId="21" fillId="15" borderId="100" xfId="0" applyNumberFormat="1" applyFont="1" applyFill="1" applyBorder="1" applyAlignment="1">
      <alignment vertical="center"/>
    </xf>
    <xf numFmtId="164" fontId="21" fillId="15" borderId="87" xfId="0" applyNumberFormat="1" applyFont="1" applyFill="1" applyBorder="1" applyAlignment="1">
      <alignment vertical="center"/>
    </xf>
    <xf numFmtId="164" fontId="12" fillId="15" borderId="120" xfId="0" applyNumberFormat="1" applyFont="1" applyFill="1" applyBorder="1" applyAlignment="1">
      <alignment vertical="center"/>
    </xf>
    <xf numFmtId="164" fontId="12" fillId="15" borderId="90" xfId="0" applyNumberFormat="1" applyFont="1" applyFill="1" applyBorder="1" applyAlignment="1">
      <alignment vertical="center"/>
    </xf>
    <xf numFmtId="164" fontId="21" fillId="15" borderId="120" xfId="0" applyNumberFormat="1" applyFont="1" applyFill="1" applyBorder="1" applyAlignment="1">
      <alignment vertical="center"/>
    </xf>
    <xf numFmtId="164" fontId="0" fillId="0" borderId="86" xfId="0" applyNumberFormat="1" applyBorder="1" applyAlignment="1">
      <alignment vertical="center"/>
    </xf>
    <xf numFmtId="164" fontId="0" fillId="0" borderId="83" xfId="0" applyNumberFormat="1" applyBorder="1" applyAlignment="1">
      <alignment vertical="center"/>
    </xf>
    <xf numFmtId="40" fontId="0" fillId="11" borderId="82" xfId="0" applyNumberFormat="1" applyFill="1" applyBorder="1" applyAlignment="1">
      <alignment vertical="center"/>
    </xf>
    <xf numFmtId="40" fontId="0" fillId="11" borderId="126" xfId="0" applyNumberFormat="1" applyFill="1" applyBorder="1" applyAlignment="1">
      <alignment vertical="center"/>
    </xf>
    <xf numFmtId="40" fontId="1" fillId="11" borderId="126" xfId="0" applyNumberFormat="1" applyFont="1" applyFill="1" applyBorder="1" applyAlignment="1">
      <alignment vertical="center"/>
    </xf>
    <xf numFmtId="40" fontId="25" fillId="11" borderId="126" xfId="0" applyNumberFormat="1" applyFont="1" applyFill="1" applyBorder="1" applyAlignment="1">
      <alignment vertical="center"/>
    </xf>
    <xf numFmtId="40" fontId="1" fillId="11" borderId="85" xfId="0" applyNumberFormat="1" applyFont="1" applyFill="1" applyBorder="1" applyAlignment="1">
      <alignment vertical="center"/>
    </xf>
    <xf numFmtId="40" fontId="24" fillId="11" borderId="84" xfId="0" applyNumberFormat="1" applyFont="1" applyFill="1" applyBorder="1" applyAlignment="1">
      <alignment vertical="center"/>
    </xf>
    <xf numFmtId="40" fontId="24" fillId="11" borderId="85" xfId="0" applyNumberFormat="1" applyFont="1" applyFill="1" applyBorder="1" applyAlignment="1">
      <alignment vertical="center"/>
    </xf>
    <xf numFmtId="14" fontId="70" fillId="0" borderId="95" xfId="0" applyNumberFormat="1" applyFont="1" applyBorder="1" applyAlignment="1">
      <alignment horizontal="center" vertical="center"/>
    </xf>
    <xf numFmtId="14" fontId="21" fillId="0" borderId="103" xfId="0" applyNumberFormat="1" applyFont="1" applyBorder="1" applyAlignment="1">
      <alignment horizontal="center" vertical="center"/>
    </xf>
    <xf numFmtId="0" fontId="0" fillId="0" borderId="102" xfId="0" applyBorder="1" applyAlignment="1">
      <alignment vertical="center"/>
    </xf>
    <xf numFmtId="0" fontId="0" fillId="0" borderId="103" xfId="0" applyBorder="1" applyAlignment="1">
      <alignment vertical="center"/>
    </xf>
    <xf numFmtId="0" fontId="0" fillId="0" borderId="95" xfId="0" applyBorder="1" applyAlignment="1">
      <alignment vertical="center"/>
    </xf>
    <xf numFmtId="164" fontId="25" fillId="0" borderId="94" xfId="0" applyNumberFormat="1" applyFont="1" applyBorder="1" applyAlignment="1">
      <alignment horizontal="right" vertical="center"/>
    </xf>
    <xf numFmtId="164" fontId="25" fillId="0" borderId="128" xfId="0" applyNumberFormat="1" applyFont="1" applyBorder="1" applyAlignment="1">
      <alignment horizontal="right" vertical="center"/>
    </xf>
    <xf numFmtId="164" fontId="39" fillId="0" borderId="94" xfId="0" applyNumberFormat="1" applyFont="1" applyBorder="1" applyAlignment="1">
      <alignment vertical="center"/>
    </xf>
    <xf numFmtId="0" fontId="0" fillId="0" borderId="81" xfId="0" applyBorder="1" applyAlignment="1">
      <alignment vertical="center"/>
    </xf>
    <xf numFmtId="0" fontId="0" fillId="0" borderId="79" xfId="0" applyBorder="1" applyAlignment="1">
      <alignment vertical="center"/>
    </xf>
    <xf numFmtId="164" fontId="25" fillId="0" borderId="78" xfId="0" applyNumberFormat="1" applyFont="1" applyBorder="1" applyAlignment="1">
      <alignment horizontal="right" vertical="center"/>
    </xf>
    <xf numFmtId="164" fontId="25" fillId="0" borderId="129" xfId="0" applyNumberFormat="1" applyFont="1" applyBorder="1" applyAlignment="1">
      <alignment horizontal="right" vertical="center"/>
    </xf>
    <xf numFmtId="164" fontId="25" fillId="0" borderId="79" xfId="0" applyNumberFormat="1" applyFont="1" applyBorder="1" applyAlignment="1">
      <alignment horizontal="right" vertical="center"/>
    </xf>
    <xf numFmtId="164" fontId="25" fillId="0" borderId="83" xfId="0" applyNumberFormat="1" applyFont="1" applyBorder="1" applyAlignment="1">
      <alignment horizontal="right" vertical="center"/>
    </xf>
    <xf numFmtId="164" fontId="39" fillId="0" borderId="83" xfId="0" applyNumberFormat="1" applyFont="1" applyBorder="1" applyAlignment="1">
      <alignment vertical="center"/>
    </xf>
    <xf numFmtId="164" fontId="39" fillId="0" borderId="78" xfId="0" applyNumberFormat="1" applyFont="1" applyBorder="1" applyAlignment="1">
      <alignment vertical="center"/>
    </xf>
    <xf numFmtId="164" fontId="9" fillId="0" borderId="120" xfId="0" applyNumberFormat="1" applyFont="1" applyBorder="1" applyAlignment="1">
      <alignment vertical="center"/>
    </xf>
    <xf numFmtId="164" fontId="25" fillId="0" borderId="95" xfId="0" applyNumberFormat="1" applyFont="1" applyBorder="1" applyAlignment="1">
      <alignment horizontal="right" vertical="center"/>
    </xf>
    <xf numFmtId="0" fontId="0" fillId="0" borderId="130" xfId="0" applyBorder="1" applyAlignment="1">
      <alignment vertical="center"/>
    </xf>
    <xf numFmtId="0" fontId="0" fillId="0" borderId="131" xfId="0" applyBorder="1" applyAlignment="1">
      <alignment vertical="center"/>
    </xf>
    <xf numFmtId="164" fontId="25" fillId="0" borderId="132" xfId="0" applyNumberFormat="1" applyFont="1" applyBorder="1" applyAlignment="1">
      <alignment horizontal="right" vertical="center"/>
    </xf>
    <xf numFmtId="164" fontId="25" fillId="0" borderId="133" xfId="0" applyNumberFormat="1" applyFont="1" applyBorder="1" applyAlignment="1">
      <alignment horizontal="right" vertical="center"/>
    </xf>
    <xf numFmtId="164" fontId="25" fillId="0" borderId="134" xfId="0" applyNumberFormat="1" applyFont="1" applyBorder="1" applyAlignment="1">
      <alignment horizontal="right" vertical="center"/>
    </xf>
    <xf numFmtId="164" fontId="25" fillId="0" borderId="135" xfId="0" applyNumberFormat="1" applyFont="1" applyBorder="1" applyAlignment="1">
      <alignment horizontal="right" vertical="center"/>
    </xf>
    <xf numFmtId="164" fontId="39" fillId="0" borderId="135" xfId="0" applyNumberFormat="1" applyFont="1" applyBorder="1" applyAlignment="1">
      <alignment vertical="center"/>
    </xf>
    <xf numFmtId="164" fontId="39" fillId="0" borderId="132" xfId="0" applyNumberFormat="1" applyFont="1" applyBorder="1" applyAlignment="1">
      <alignment vertical="center"/>
    </xf>
    <xf numFmtId="0" fontId="30" fillId="0" borderId="136" xfId="8" applyBorder="1" applyAlignment="1">
      <alignment vertical="center"/>
    </xf>
    <xf numFmtId="0" fontId="30" fillId="0" borderId="137" xfId="8" applyBorder="1" applyAlignment="1">
      <alignment vertical="center"/>
    </xf>
    <xf numFmtId="0" fontId="30" fillId="0" borderId="138" xfId="8" applyBorder="1" applyAlignment="1">
      <alignment vertical="center"/>
    </xf>
    <xf numFmtId="164" fontId="25" fillId="0" borderId="139" xfId="0" applyNumberFormat="1" applyFont="1" applyBorder="1" applyAlignment="1">
      <alignment vertical="center"/>
    </xf>
    <xf numFmtId="164" fontId="24" fillId="0" borderId="140" xfId="0" applyNumberFormat="1" applyFont="1" applyBorder="1" applyAlignment="1">
      <alignment vertical="center"/>
    </xf>
    <xf numFmtId="164" fontId="25" fillId="0" borderId="141" xfId="0" applyNumberFormat="1" applyFont="1" applyBorder="1" applyAlignment="1">
      <alignment vertical="center"/>
    </xf>
    <xf numFmtId="164" fontId="25" fillId="0" borderId="142" xfId="0" applyNumberFormat="1" applyFont="1" applyBorder="1" applyAlignment="1">
      <alignment vertical="center"/>
    </xf>
    <xf numFmtId="164" fontId="25" fillId="0" borderId="140" xfId="0" applyNumberFormat="1" applyFont="1" applyBorder="1" applyAlignment="1">
      <alignment vertical="center"/>
    </xf>
    <xf numFmtId="0" fontId="32" fillId="0" borderId="143" xfId="8" applyFont="1" applyBorder="1" applyAlignment="1">
      <alignment vertical="center"/>
    </xf>
    <xf numFmtId="0" fontId="30" fillId="0" borderId="144" xfId="8" applyBorder="1" applyAlignment="1">
      <alignment vertical="center"/>
    </xf>
    <xf numFmtId="0" fontId="32" fillId="0" borderId="144" xfId="8" applyFont="1" applyBorder="1" applyAlignment="1">
      <alignment vertical="center"/>
    </xf>
    <xf numFmtId="0" fontId="30" fillId="0" borderId="145" xfId="8" applyBorder="1" applyAlignment="1">
      <alignment vertical="center"/>
    </xf>
    <xf numFmtId="3" fontId="30" fillId="0" borderId="145" xfId="8" applyNumberFormat="1" applyBorder="1" applyAlignment="1">
      <alignment vertical="center"/>
    </xf>
    <xf numFmtId="0" fontId="30" fillId="0" borderId="146" xfId="8" applyBorder="1" applyAlignment="1">
      <alignment vertical="center"/>
    </xf>
    <xf numFmtId="164" fontId="25" fillId="0" borderId="132" xfId="0" applyNumberFormat="1" applyFont="1" applyBorder="1" applyAlignment="1">
      <alignment vertical="center"/>
    </xf>
    <xf numFmtId="164" fontId="24" fillId="0" borderId="134" xfId="0" applyNumberFormat="1" applyFont="1" applyBorder="1" applyAlignment="1">
      <alignment vertical="center"/>
    </xf>
    <xf numFmtId="164" fontId="25" fillId="0" borderId="133" xfId="0" applyNumberFormat="1" applyFont="1" applyBorder="1" applyAlignment="1">
      <alignment vertical="center"/>
    </xf>
    <xf numFmtId="164" fontId="25" fillId="0" borderId="147" xfId="0" applyNumberFormat="1" applyFont="1" applyBorder="1" applyAlignment="1">
      <alignment vertical="center"/>
    </xf>
    <xf numFmtId="164" fontId="25" fillId="0" borderId="134" xfId="0" applyNumberFormat="1" applyFont="1" applyBorder="1" applyAlignment="1">
      <alignment vertical="center"/>
    </xf>
    <xf numFmtId="0" fontId="60" fillId="0" borderId="148" xfId="8" applyFont="1" applyBorder="1" applyAlignment="1">
      <alignment vertical="center"/>
    </xf>
    <xf numFmtId="0" fontId="30" fillId="0" borderId="149" xfId="8" applyBorder="1" applyAlignment="1">
      <alignment vertical="center"/>
    </xf>
    <xf numFmtId="164" fontId="25" fillId="11" borderId="147" xfId="0" applyNumberFormat="1" applyFont="1" applyFill="1" applyBorder="1" applyAlignment="1">
      <alignment vertical="center"/>
    </xf>
    <xf numFmtId="164" fontId="25" fillId="11" borderId="134" xfId="0" applyNumberFormat="1" applyFont="1" applyFill="1" applyBorder="1" applyAlignment="1">
      <alignment vertical="center"/>
    </xf>
    <xf numFmtId="164" fontId="39" fillId="0" borderId="150" xfId="0" applyNumberFormat="1" applyFont="1" applyBorder="1" applyAlignment="1">
      <alignment vertical="center"/>
    </xf>
    <xf numFmtId="164" fontId="1" fillId="0" borderId="151" xfId="0" applyNumberFormat="1" applyFont="1" applyBorder="1" applyAlignment="1">
      <alignment vertical="center"/>
    </xf>
    <xf numFmtId="164" fontId="9" fillId="0" borderId="152" xfId="0" applyNumberFormat="1" applyFont="1" applyBorder="1" applyAlignment="1">
      <alignment vertical="center"/>
    </xf>
    <xf numFmtId="164" fontId="24" fillId="0" borderId="94" xfId="0" applyNumberFormat="1" applyFont="1" applyBorder="1" applyAlignment="1">
      <alignment horizontal="right" vertical="center"/>
    </xf>
    <xf numFmtId="164" fontId="25" fillId="0" borderId="126" xfId="0" applyNumberFormat="1" applyFont="1" applyBorder="1" applyAlignment="1">
      <alignment horizontal="right" vertical="center"/>
    </xf>
    <xf numFmtId="0" fontId="30" fillId="0" borderId="153" xfId="8" applyBorder="1" applyAlignment="1">
      <alignment vertical="center"/>
    </xf>
    <xf numFmtId="164" fontId="25" fillId="0" borderId="154" xfId="0" applyNumberFormat="1" applyFont="1" applyBorder="1" applyAlignment="1">
      <alignment vertical="center"/>
    </xf>
    <xf numFmtId="164" fontId="24" fillId="0" borderId="155" xfId="0" applyNumberFormat="1" applyFont="1" applyBorder="1" applyAlignment="1">
      <alignment vertical="center"/>
    </xf>
    <xf numFmtId="164" fontId="25" fillId="0" borderId="156" xfId="0" applyNumberFormat="1" applyFont="1" applyBorder="1" applyAlignment="1">
      <alignment vertical="center"/>
    </xf>
    <xf numFmtId="0" fontId="32" fillId="0" borderId="157" xfId="8" applyFont="1" applyBorder="1" applyAlignment="1">
      <alignment vertical="center"/>
    </xf>
    <xf numFmtId="0" fontId="30" fillId="0" borderId="158" xfId="8" applyBorder="1" applyAlignment="1">
      <alignment vertical="center"/>
    </xf>
    <xf numFmtId="0" fontId="32" fillId="0" borderId="158" xfId="8" applyFont="1" applyBorder="1" applyAlignment="1">
      <alignment vertical="center"/>
    </xf>
    <xf numFmtId="0" fontId="30" fillId="0" borderId="159" xfId="8" applyBorder="1" applyAlignment="1">
      <alignment vertical="center"/>
    </xf>
    <xf numFmtId="3" fontId="30" fillId="0" borderId="159" xfId="8" applyNumberFormat="1" applyBorder="1" applyAlignment="1">
      <alignment vertical="center"/>
    </xf>
    <xf numFmtId="0" fontId="30" fillId="0" borderId="160" xfId="8" applyBorder="1" applyAlignment="1">
      <alignment vertical="center"/>
    </xf>
    <xf numFmtId="164" fontId="25" fillId="0" borderId="161" xfId="0" applyNumberFormat="1" applyFont="1" applyBorder="1" applyAlignment="1">
      <alignment vertical="center"/>
    </xf>
    <xf numFmtId="0" fontId="60" fillId="0" borderId="162" xfId="8" applyFont="1" applyBorder="1" applyAlignment="1">
      <alignment vertical="center"/>
    </xf>
    <xf numFmtId="0" fontId="30" fillId="0" borderId="163" xfId="8" applyBorder="1" applyAlignment="1">
      <alignment vertical="center"/>
    </xf>
    <xf numFmtId="164" fontId="25" fillId="11" borderId="164" xfId="0" applyNumberFormat="1" applyFont="1" applyFill="1" applyBorder="1" applyAlignment="1">
      <alignment vertical="center"/>
    </xf>
    <xf numFmtId="14" fontId="21" fillId="0" borderId="165" xfId="0" applyNumberFormat="1" applyFont="1" applyBorder="1" applyAlignment="1">
      <alignment horizontal="center" vertical="center"/>
    </xf>
    <xf numFmtId="14" fontId="21" fillId="0" borderId="166" xfId="0" applyNumberFormat="1" applyFont="1" applyBorder="1" applyAlignment="1">
      <alignment horizontal="center" vertical="center"/>
    </xf>
    <xf numFmtId="0" fontId="0" fillId="0" borderId="167" xfId="0" applyBorder="1" applyAlignment="1">
      <alignment vertical="center"/>
    </xf>
    <xf numFmtId="0" fontId="0" fillId="0" borderId="166" xfId="0" applyBorder="1" applyAlignment="1">
      <alignment vertical="center"/>
    </xf>
    <xf numFmtId="0" fontId="0" fillId="0" borderId="168" xfId="0" applyBorder="1" applyAlignment="1">
      <alignment vertical="center"/>
    </xf>
    <xf numFmtId="164" fontId="25" fillId="0" borderId="169" xfId="0" applyNumberFormat="1" applyFont="1" applyBorder="1" applyAlignment="1">
      <alignment horizontal="right" vertical="center"/>
    </xf>
    <xf numFmtId="164" fontId="24" fillId="0" borderId="169" xfId="0" applyNumberFormat="1" applyFont="1" applyBorder="1" applyAlignment="1">
      <alignment horizontal="right" vertical="center"/>
    </xf>
    <xf numFmtId="164" fontId="9" fillId="0" borderId="165" xfId="0" applyNumberFormat="1" applyFont="1" applyBorder="1" applyAlignment="1">
      <alignment vertical="center"/>
    </xf>
    <xf numFmtId="0" fontId="30" fillId="0" borderId="157" xfId="8" applyBorder="1" applyAlignment="1">
      <alignment vertical="center"/>
    </xf>
    <xf numFmtId="0" fontId="30" fillId="0" borderId="170" xfId="8" applyBorder="1" applyAlignment="1">
      <alignment vertical="center"/>
    </xf>
    <xf numFmtId="164" fontId="25" fillId="0" borderId="171" xfId="0" applyNumberFormat="1" applyFont="1" applyBorder="1" applyAlignment="1">
      <alignment vertical="center"/>
    </xf>
    <xf numFmtId="164" fontId="24" fillId="0" borderId="172" xfId="0" applyNumberFormat="1" applyFont="1" applyBorder="1" applyAlignment="1">
      <alignment vertical="center"/>
    </xf>
    <xf numFmtId="164" fontId="25" fillId="0" borderId="173" xfId="0" applyNumberFormat="1" applyFont="1" applyBorder="1" applyAlignment="1">
      <alignment vertical="center"/>
    </xf>
    <xf numFmtId="164" fontId="25" fillId="0" borderId="172" xfId="0" applyNumberFormat="1" applyFont="1" applyBorder="1" applyAlignment="1">
      <alignment vertical="center"/>
    </xf>
    <xf numFmtId="0" fontId="32" fillId="0" borderId="174" xfId="8" applyFont="1" applyBorder="1" applyAlignment="1">
      <alignment vertical="center"/>
    </xf>
    <xf numFmtId="0" fontId="30" fillId="0" borderId="175" xfId="8" applyBorder="1" applyAlignment="1">
      <alignment vertical="center"/>
    </xf>
    <xf numFmtId="0" fontId="32" fillId="0" borderId="175" xfId="8" applyFont="1" applyBorder="1" applyAlignment="1">
      <alignment vertical="center"/>
    </xf>
    <xf numFmtId="3" fontId="30" fillId="0" borderId="176" xfId="8" applyNumberFormat="1" applyBorder="1" applyAlignment="1">
      <alignment vertical="center"/>
    </xf>
    <xf numFmtId="0" fontId="30" fillId="0" borderId="177" xfId="8" applyBorder="1" applyAlignment="1">
      <alignment vertical="center"/>
    </xf>
    <xf numFmtId="0" fontId="30" fillId="0" borderId="176" xfId="8" applyBorder="1" applyAlignment="1">
      <alignment vertical="center"/>
    </xf>
    <xf numFmtId="0" fontId="60" fillId="0" borderId="177" xfId="8" applyFont="1" applyBorder="1" applyAlignment="1">
      <alignment vertical="center"/>
    </xf>
    <xf numFmtId="0" fontId="30" fillId="0" borderId="178" xfId="8" applyBorder="1" applyAlignment="1">
      <alignment vertical="center"/>
    </xf>
    <xf numFmtId="164" fontId="24" fillId="0" borderId="179" xfId="0" applyNumberFormat="1" applyFont="1" applyBorder="1" applyAlignment="1">
      <alignment vertical="center"/>
    </xf>
    <xf numFmtId="164" fontId="25" fillId="11" borderId="180" xfId="0" applyNumberFormat="1" applyFont="1" applyFill="1" applyBorder="1" applyAlignment="1">
      <alignment vertical="center"/>
    </xf>
    <xf numFmtId="164" fontId="25" fillId="11" borderId="179" xfId="0" applyNumberFormat="1" applyFont="1" applyFill="1" applyBorder="1" applyAlignment="1">
      <alignment vertical="center"/>
    </xf>
    <xf numFmtId="164" fontId="25" fillId="0" borderId="181" xfId="0" applyNumberFormat="1" applyFont="1" applyBorder="1" applyAlignment="1">
      <alignment horizontal="right" vertical="center"/>
    </xf>
    <xf numFmtId="164" fontId="9" fillId="0" borderId="80" xfId="0" applyNumberFormat="1" applyFont="1" applyBorder="1" applyAlignment="1">
      <alignment vertical="center"/>
    </xf>
    <xf numFmtId="0" fontId="30" fillId="0" borderId="182" xfId="8" applyBorder="1" applyAlignment="1">
      <alignment vertical="center"/>
    </xf>
    <xf numFmtId="0" fontId="30" fillId="0" borderId="174" xfId="8" applyBorder="1" applyAlignment="1">
      <alignment vertical="center"/>
    </xf>
    <xf numFmtId="0" fontId="30" fillId="0" borderId="183" xfId="8" applyBorder="1" applyAlignment="1">
      <alignment vertical="center"/>
    </xf>
    <xf numFmtId="164" fontId="25" fillId="0" borderId="184" xfId="0" applyNumberFormat="1" applyFont="1" applyBorder="1" applyAlignment="1">
      <alignment vertical="center"/>
    </xf>
    <xf numFmtId="164" fontId="24" fillId="0" borderId="185" xfId="0" applyNumberFormat="1" applyFont="1" applyBorder="1" applyAlignment="1">
      <alignment vertical="center"/>
    </xf>
    <xf numFmtId="164" fontId="25" fillId="0" borderId="186" xfId="0" applyNumberFormat="1" applyFont="1" applyBorder="1" applyAlignment="1">
      <alignment vertical="center"/>
    </xf>
    <xf numFmtId="164" fontId="25" fillId="0" borderId="185" xfId="0" applyNumberFormat="1" applyFont="1" applyBorder="1" applyAlignment="1">
      <alignment vertical="center"/>
    </xf>
    <xf numFmtId="164" fontId="25" fillId="0" borderId="187" xfId="0" applyNumberFormat="1" applyFont="1" applyBorder="1" applyAlignment="1">
      <alignment vertical="center"/>
    </xf>
    <xf numFmtId="0" fontId="32" fillId="0" borderId="188" xfId="8" applyFont="1" applyBorder="1" applyAlignment="1">
      <alignment vertical="center"/>
    </xf>
    <xf numFmtId="0" fontId="30" fillId="0" borderId="189" xfId="8" applyBorder="1" applyAlignment="1">
      <alignment vertical="center"/>
    </xf>
    <xf numFmtId="0" fontId="32" fillId="0" borderId="189" xfId="8" applyFont="1" applyBorder="1" applyAlignment="1">
      <alignment vertical="center"/>
    </xf>
    <xf numFmtId="3" fontId="30" fillId="0" borderId="190" xfId="8" applyNumberFormat="1" applyBorder="1" applyAlignment="1">
      <alignment vertical="center"/>
    </xf>
    <xf numFmtId="0" fontId="30" fillId="0" borderId="191" xfId="8" applyBorder="1" applyAlignment="1">
      <alignment vertical="center"/>
    </xf>
    <xf numFmtId="0" fontId="30" fillId="0" borderId="190" xfId="8" applyBorder="1" applyAlignment="1">
      <alignment vertical="center"/>
    </xf>
    <xf numFmtId="0" fontId="60" fillId="0" borderId="191" xfId="8" applyFont="1" applyBorder="1" applyAlignment="1">
      <alignment vertical="center"/>
    </xf>
    <xf numFmtId="0" fontId="30" fillId="0" borderId="192" xfId="8" applyBorder="1" applyAlignment="1">
      <alignment vertical="center"/>
    </xf>
    <xf numFmtId="164" fontId="24" fillId="0" borderId="193" xfId="0" applyNumberFormat="1" applyFont="1" applyBorder="1" applyAlignment="1">
      <alignment vertical="center"/>
    </xf>
    <xf numFmtId="164" fontId="25" fillId="11" borderId="194" xfId="0" applyNumberFormat="1" applyFont="1" applyFill="1" applyBorder="1" applyAlignment="1">
      <alignment vertical="center"/>
    </xf>
    <xf numFmtId="164" fontId="25" fillId="11" borderId="193" xfId="0" applyNumberFormat="1" applyFont="1" applyFill="1" applyBorder="1" applyAlignment="1">
      <alignment vertical="center"/>
    </xf>
    <xf numFmtId="164" fontId="25" fillId="11" borderId="195" xfId="0" applyNumberFormat="1" applyFont="1" applyFill="1" applyBorder="1" applyAlignment="1">
      <alignment vertical="center"/>
    </xf>
    <xf numFmtId="164" fontId="25" fillId="0" borderId="187" xfId="0" applyNumberFormat="1" applyFont="1" applyBorder="1" applyAlignment="1">
      <alignment horizontal="right" vertical="center"/>
    </xf>
    <xf numFmtId="164" fontId="9" fillId="0" borderId="196" xfId="0" applyNumberFormat="1" applyFont="1" applyBorder="1" applyAlignment="1">
      <alignment vertical="center"/>
    </xf>
    <xf numFmtId="0" fontId="30" fillId="0" borderId="197" xfId="8" applyBorder="1" applyAlignment="1">
      <alignment vertical="center"/>
    </xf>
    <xf numFmtId="0" fontId="30" fillId="0" borderId="198" xfId="8" applyBorder="1" applyAlignment="1">
      <alignment vertical="center"/>
    </xf>
    <xf numFmtId="164" fontId="25" fillId="0" borderId="78" xfId="0" applyNumberFormat="1" applyFont="1" applyBorder="1" applyAlignment="1">
      <alignment vertical="center"/>
    </xf>
    <xf numFmtId="164" fontId="24" fillId="0" borderId="79" xfId="0" applyNumberFormat="1" applyFont="1" applyBorder="1" applyAlignment="1">
      <alignment vertical="center"/>
    </xf>
    <xf numFmtId="164" fontId="25" fillId="0" borderId="79" xfId="0" applyNumberFormat="1" applyFont="1" applyBorder="1" applyAlignment="1">
      <alignment vertical="center"/>
    </xf>
    <xf numFmtId="164" fontId="25" fillId="11" borderId="199" xfId="0" applyNumberFormat="1" applyFont="1" applyFill="1" applyBorder="1" applyAlignment="1">
      <alignment vertical="center"/>
    </xf>
    <xf numFmtId="0" fontId="0" fillId="0" borderId="200" xfId="0" applyBorder="1" applyAlignment="1">
      <alignment vertical="center"/>
    </xf>
    <xf numFmtId="0" fontId="0" fillId="0" borderId="201" xfId="0" applyBorder="1" applyAlignment="1">
      <alignment vertical="center"/>
    </xf>
    <xf numFmtId="0" fontId="0" fillId="0" borderId="202" xfId="0" applyBorder="1" applyAlignment="1">
      <alignment vertical="center"/>
    </xf>
    <xf numFmtId="164" fontId="25" fillId="0" borderId="203" xfId="0" applyNumberFormat="1" applyFont="1" applyBorder="1" applyAlignment="1">
      <alignment horizontal="right" vertical="center"/>
    </xf>
    <xf numFmtId="164" fontId="25" fillId="0" borderId="204" xfId="0" applyNumberFormat="1" applyFont="1" applyBorder="1" applyAlignment="1">
      <alignment horizontal="right" vertical="center"/>
    </xf>
    <xf numFmtId="164" fontId="9" fillId="0" borderId="205" xfId="0" applyNumberFormat="1" applyFont="1" applyBorder="1" applyAlignment="1">
      <alignment vertical="center"/>
    </xf>
    <xf numFmtId="164" fontId="9" fillId="0" borderId="201" xfId="0" applyNumberFormat="1" applyFont="1" applyBorder="1" applyAlignment="1">
      <alignment vertical="center"/>
    </xf>
    <xf numFmtId="0" fontId="30" fillId="0" borderId="206" xfId="8" applyBorder="1" applyAlignment="1">
      <alignment vertical="center"/>
    </xf>
    <xf numFmtId="0" fontId="30" fillId="0" borderId="207" xfId="8" applyBorder="1" applyAlignment="1">
      <alignment vertical="center"/>
    </xf>
    <xf numFmtId="164" fontId="25" fillId="0" borderId="203" xfId="0" applyNumberFormat="1" applyFont="1" applyBorder="1" applyAlignment="1">
      <alignment vertical="center"/>
    </xf>
    <xf numFmtId="164" fontId="24" fillId="0" borderId="202" xfId="0" applyNumberFormat="1" applyFont="1" applyBorder="1" applyAlignment="1">
      <alignment vertical="center"/>
    </xf>
    <xf numFmtId="164" fontId="25" fillId="0" borderId="202" xfId="0" applyNumberFormat="1" applyFont="1" applyBorder="1" applyAlignment="1">
      <alignment vertical="center"/>
    </xf>
    <xf numFmtId="164" fontId="25" fillId="0" borderId="204" xfId="0" applyNumberFormat="1" applyFont="1" applyBorder="1" applyAlignment="1">
      <alignment vertical="center"/>
    </xf>
    <xf numFmtId="0" fontId="32" fillId="0" borderId="208" xfId="8" applyFont="1" applyBorder="1" applyAlignment="1">
      <alignment vertical="center"/>
    </xf>
    <xf numFmtId="0" fontId="30" fillId="0" borderId="209" xfId="8" applyBorder="1" applyAlignment="1">
      <alignment vertical="center"/>
    </xf>
    <xf numFmtId="0" fontId="32" fillId="0" borderId="209" xfId="8" applyFont="1" applyBorder="1" applyAlignment="1">
      <alignment vertical="center"/>
    </xf>
    <xf numFmtId="0" fontId="30" fillId="0" borderId="210" xfId="8" applyBorder="1" applyAlignment="1">
      <alignment vertical="center"/>
    </xf>
    <xf numFmtId="0" fontId="30" fillId="0" borderId="211" xfId="8" applyBorder="1" applyAlignment="1">
      <alignment vertical="center"/>
    </xf>
    <xf numFmtId="0" fontId="60" fillId="0" borderId="211" xfId="8" applyFont="1" applyBorder="1" applyAlignment="1">
      <alignment vertical="center"/>
    </xf>
    <xf numFmtId="0" fontId="30" fillId="0" borderId="212" xfId="8" applyBorder="1" applyAlignment="1">
      <alignment vertical="center"/>
    </xf>
    <xf numFmtId="164" fontId="25" fillId="11" borderId="213" xfId="0" applyNumberFormat="1" applyFont="1" applyFill="1" applyBorder="1" applyAlignment="1">
      <alignment vertical="center"/>
    </xf>
    <xf numFmtId="164" fontId="25" fillId="11" borderId="214" xfId="0" applyNumberFormat="1" applyFont="1" applyFill="1" applyBorder="1" applyAlignment="1">
      <alignment vertical="center"/>
    </xf>
    <xf numFmtId="0" fontId="33" fillId="0" borderId="201" xfId="0" applyFont="1" applyBorder="1"/>
    <xf numFmtId="17" fontId="33" fillId="0" borderId="201" xfId="0" applyNumberFormat="1" applyFont="1" applyBorder="1"/>
    <xf numFmtId="0" fontId="21" fillId="0" borderId="201" xfId="0" applyFont="1" applyBorder="1"/>
    <xf numFmtId="167" fontId="33" fillId="0" borderId="201" xfId="0" applyNumberFormat="1" applyFont="1" applyBorder="1"/>
    <xf numFmtId="167" fontId="33" fillId="17" borderId="201" xfId="0" applyNumberFormat="1" applyFont="1" applyFill="1" applyBorder="1"/>
    <xf numFmtId="0" fontId="28" fillId="0" borderId="201" xfId="0" applyFont="1" applyBorder="1"/>
    <xf numFmtId="0" fontId="67" fillId="0" borderId="201" xfId="0" applyFont="1" applyBorder="1"/>
    <xf numFmtId="167" fontId="28" fillId="17" borderId="201" xfId="0" applyNumberFormat="1" applyFont="1" applyFill="1" applyBorder="1"/>
    <xf numFmtId="0" fontId="58" fillId="0" borderId="201" xfId="0" applyFont="1" applyBorder="1"/>
    <xf numFmtId="0" fontId="62" fillId="0" borderId="201" xfId="0" applyFont="1" applyBorder="1"/>
    <xf numFmtId="164" fontId="33" fillId="0" borderId="201" xfId="0" applyNumberFormat="1" applyFont="1" applyBorder="1"/>
    <xf numFmtId="167" fontId="33" fillId="18" borderId="201" xfId="0" applyNumberFormat="1" applyFont="1" applyFill="1" applyBorder="1"/>
    <xf numFmtId="164" fontId="21" fillId="0" borderId="201" xfId="0" applyNumberFormat="1" applyFont="1" applyBorder="1"/>
    <xf numFmtId="167" fontId="21" fillId="18" borderId="201" xfId="0" applyNumberFormat="1" applyFont="1" applyFill="1" applyBorder="1"/>
    <xf numFmtId="167" fontId="21" fillId="0" borderId="201" xfId="0" applyNumberFormat="1" applyFont="1" applyBorder="1"/>
    <xf numFmtId="164" fontId="33" fillId="17" borderId="201" xfId="0" applyNumberFormat="1" applyFont="1" applyFill="1" applyBorder="1"/>
    <xf numFmtId="0" fontId="33" fillId="0" borderId="201" xfId="0" applyFont="1" applyBorder="1" applyAlignment="1">
      <alignment wrapText="1"/>
    </xf>
    <xf numFmtId="0" fontId="57" fillId="0" borderId="201" xfId="0" applyFont="1" applyBorder="1"/>
    <xf numFmtId="164" fontId="33" fillId="19" borderId="201" xfId="0" applyNumberFormat="1" applyFont="1" applyFill="1" applyBorder="1"/>
    <xf numFmtId="0" fontId="69" fillId="0" borderId="201" xfId="0" applyFont="1" applyBorder="1"/>
    <xf numFmtId="0" fontId="74" fillId="0" borderId="201" xfId="0" applyFont="1" applyBorder="1"/>
    <xf numFmtId="0" fontId="57" fillId="0" borderId="201" xfId="0" applyFont="1" applyBorder="1" applyAlignment="1">
      <alignment wrapText="1"/>
    </xf>
    <xf numFmtId="0" fontId="73" fillId="0" borderId="201" xfId="0" applyFont="1" applyBorder="1"/>
    <xf numFmtId="0" fontId="22" fillId="0" borderId="201" xfId="0" applyFont="1" applyBorder="1"/>
    <xf numFmtId="17" fontId="33" fillId="0" borderId="215" xfId="0" applyNumberFormat="1" applyFont="1" applyBorder="1" applyAlignment="1">
      <alignment horizontal="center" vertical="center" textRotation="255"/>
    </xf>
    <xf numFmtId="0" fontId="33" fillId="0" borderId="103" xfId="0" applyFont="1" applyBorder="1" applyAlignment="1">
      <alignment horizontal="center" vertical="center" textRotation="255"/>
    </xf>
    <xf numFmtId="0" fontId="21" fillId="0" borderId="215" xfId="0" applyFont="1" applyBorder="1"/>
    <xf numFmtId="164" fontId="33" fillId="0" borderId="215" xfId="0" applyNumberFormat="1" applyFont="1" applyBorder="1"/>
    <xf numFmtId="17" fontId="33" fillId="0" borderId="103" xfId="0" applyNumberFormat="1" applyFont="1" applyBorder="1" applyAlignment="1">
      <alignment horizontal="center" vertical="center" textRotation="255"/>
    </xf>
    <xf numFmtId="0" fontId="33" fillId="0" borderId="173" xfId="0" applyFont="1" applyBorder="1"/>
    <xf numFmtId="0" fontId="33" fillId="0" borderId="103" xfId="0" applyFont="1" applyBorder="1"/>
    <xf numFmtId="49" fontId="33" fillId="0" borderId="103" xfId="0" applyNumberFormat="1" applyFont="1" applyBorder="1"/>
    <xf numFmtId="49" fontId="33" fillId="0" borderId="201" xfId="0" applyNumberFormat="1" applyFont="1" applyBorder="1"/>
    <xf numFmtId="0" fontId="33" fillId="0" borderId="103" xfId="0" applyFont="1" applyBorder="1" applyAlignment="1">
      <alignment horizontal="center" vertical="center" textRotation="255"/>
    </xf>
    <xf numFmtId="170" fontId="33" fillId="0" borderId="215" xfId="0" applyNumberFormat="1" applyFont="1" applyBorder="1" applyAlignment="1">
      <alignment horizontal="center" vertical="center" textRotation="255"/>
    </xf>
    <xf numFmtId="49" fontId="33" fillId="0" borderId="173" xfId="0" applyNumberFormat="1" applyFont="1" applyBorder="1"/>
    <xf numFmtId="171" fontId="0" fillId="0" borderId="201" xfId="0" applyNumberFormat="1" applyBorder="1"/>
    <xf numFmtId="171" fontId="0" fillId="11" borderId="201" xfId="0" applyNumberFormat="1" applyFill="1" applyBorder="1"/>
    <xf numFmtId="170" fontId="33" fillId="0" borderId="103" xfId="0" applyNumberFormat="1" applyFont="1" applyBorder="1" applyAlignment="1">
      <alignment horizontal="center" vertical="center" textRotation="255"/>
    </xf>
    <xf numFmtId="49" fontId="0" fillId="0" borderId="201" xfId="0" applyNumberFormat="1" applyBorder="1"/>
    <xf numFmtId="49" fontId="33" fillId="0" borderId="201" xfId="0" applyNumberFormat="1" applyFont="1" applyBorder="1" applyAlignment="1">
      <alignment wrapText="1"/>
    </xf>
    <xf numFmtId="49" fontId="0" fillId="0" borderId="215" xfId="0" applyNumberFormat="1" applyBorder="1"/>
    <xf numFmtId="171" fontId="0" fillId="0" borderId="215" xfId="0" applyNumberFormat="1" applyBorder="1"/>
    <xf numFmtId="164" fontId="33" fillId="0" borderId="103" xfId="0" applyNumberFormat="1" applyFont="1" applyBorder="1"/>
    <xf numFmtId="171" fontId="33" fillId="0" borderId="201" xfId="0" applyNumberFormat="1" applyFont="1" applyBorder="1"/>
    <xf numFmtId="49" fontId="57" fillId="0" borderId="201" xfId="0" applyNumberFormat="1" applyFont="1" applyBorder="1"/>
  </cellXfs>
  <cellStyles count="11">
    <cellStyle name="20% - Akzent1_HH-Plan AStA + Fachschaften - Entwurf 2" xfId="2" xr:uid="{BACAFC77-6E7A-4C04-AC1D-A6870EAEED5C}"/>
    <cellStyle name="Excel Built-in Currency" xfId="10" xr:uid="{AECAB8D1-80E2-452E-A3DB-36CB3E4D76A1}"/>
    <cellStyle name="Excel Built-in Normal" xfId="9" xr:uid="{350CE305-4284-4431-8E2B-79CB002EE44B}"/>
    <cellStyle name="Excel Built-in Normal 1" xfId="6" xr:uid="{CAEC86B0-F361-4462-96D4-B63077A1311C}"/>
    <cellStyle name="Excel Built-in Normal 2" xfId="8" xr:uid="{36FB6886-2F20-4EEB-B799-4FB64BC317CC}"/>
    <cellStyle name="Excel Built-in Normal 4" xfId="7" xr:uid="{0AACAFCB-CFD1-4C8F-9893-C6CB648AECCD}"/>
    <cellStyle name="Link" xfId="1" builtinId="8"/>
    <cellStyle name="Prozent 2" xfId="5" xr:uid="{9D339764-6BD4-48E7-8CDD-19B36743D82D}"/>
    <cellStyle name="Standard" xfId="0" builtinId="0"/>
    <cellStyle name="Standard 2" xfId="3" xr:uid="{988A1245-658A-4B1A-A08E-6F868525EAE4}"/>
    <cellStyle name="Währung 2" xfId="4" xr:uid="{368DC273-126C-43FA-AFDF-F4FDD3878B82}"/>
  </cellStyles>
  <dxfs count="7">
    <dxf>
      <numFmt numFmtId="164" formatCode="#,##0.00\ &quot;€&quot;"/>
    </dxf>
    <dxf>
      <numFmt numFmtId="164" formatCode="#,##0.00\ &quot;€&quot;"/>
    </dxf>
    <dxf>
      <numFmt numFmtId="164" formatCode="#,##0.00\ &quot;€&quot;"/>
    </dxf>
    <dxf>
      <numFmt numFmtId="164" formatCode="#,##0.00\ &quot;€&quot;"/>
    </dxf>
    <dxf>
      <font>
        <strike val="0"/>
        <outline val="0"/>
        <shadow val="0"/>
        <u val="none"/>
        <vertAlign val="subscript"/>
        <sz val="8"/>
        <color theme="0"/>
        <name val="Calibri"/>
        <family val="2"/>
        <scheme val="minor"/>
      </font>
      <numFmt numFmtId="0" formatCode="General"/>
    </dxf>
    <dxf>
      <alignment horizontal="right" vertical="bottom" textRotation="0" wrapTex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left" vertical="bottom" textRotation="0" wrapText="0" indent="0" justifyLastLine="0" shrinkToFit="0" readingOrder="0"/>
    </dxf>
  </dxfs>
  <tableStyles count="0" defaultTableStyle="TableStyleMedium2" defaultPivotStyle="PivotStyleLight16"/>
  <colors>
    <mruColors>
      <color rgb="FFFFCCCC"/>
      <color rgb="FFFF7C8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calcChain" Target="calcChain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fedde\Desktop\Haushalt%20Wiwi%20neu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WiWi"/>
    </sheetNames>
    <sheetDataSet>
      <sheetData sheetId="0">
        <row r="5">
          <cell r="E5">
            <v>56381</v>
          </cell>
        </row>
        <row r="12">
          <cell r="E12">
            <v>15000</v>
          </cell>
          <cell r="G12">
            <v>14000</v>
          </cell>
        </row>
        <row r="13">
          <cell r="G13">
            <v>3000</v>
          </cell>
        </row>
        <row r="14">
          <cell r="E14">
            <v>1000</v>
          </cell>
          <cell r="G14">
            <v>200</v>
          </cell>
        </row>
        <row r="17">
          <cell r="E17">
            <v>1100</v>
          </cell>
        </row>
      </sheetData>
    </sheetDataSet>
  </externalBook>
</externalLink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8AEFAA4-9036-4DD7-A64D-A1514B50A18B}" name="Tabelle1" displayName="Tabelle1" ref="A5:P282" totalsRowShown="0" headerRowDxfId="6">
  <autoFilter ref="A5:P282" xr:uid="{3AFBB273-711C-4D5C-B957-385EE8EC342B}"/>
  <tableColumns count="16">
    <tableColumn id="1" xr3:uid="{8D18CEA1-4079-464B-A8DE-68520D9B050D}" name="Titel" dataDxfId="5"/>
    <tableColumn id="10" xr3:uid="{EF2D33E7-1E18-48C6-80B3-742584339793}" name="Spalte1" dataDxfId="4">
      <calculatedColumnFormula>ROW(B1)</calculatedColumnFormula>
    </tableColumn>
    <tableColumn id="2" xr3:uid="{E278AF58-DC98-433A-B77D-71DF047DA1BD}" name="Titel alt"/>
    <tableColumn id="3" xr3:uid="{D06858BA-C255-4A27-87BC-7BAF0A57749B}" name="Kontenbezeichnung"/>
    <tableColumn id="4" xr3:uid="{C85A20BC-75B6-4E7F-B59D-4413A485BF9A}" name="SOLL HHJ 21-22" dataDxfId="3"/>
    <tableColumn id="8" xr3:uid="{FD7DA2AA-4404-4420-8694-42E90A394589}" name="IST HHJ 21-22" dataDxfId="2"/>
    <tableColumn id="14" xr3:uid="{5B137AF8-7F8D-4E5B-BF54-51DC435565C3}" name="SOLL HHJ 22-23_x000a_SP 17.12.22"/>
    <tableColumn id="7" xr3:uid="{EF937D7B-951F-4F4A-B097-B69625D4354F}" name="IST HHJ 22-23_x000a_30.09.2023"/>
    <tableColumn id="13" xr3:uid="{99627592-970E-43C6-BD1C-D4FFE7D60629}" name="SOLL HHJ 23-24_x000a_SP 11.11.2023"/>
    <tableColumn id="16" xr3:uid="{21A00AED-9C5D-4ADD-A41E-F3B227E4608A}" name="IST HHJ 22-23_x000a_30.09.20242"/>
    <tableColumn id="11" xr3:uid="{F9DE9D78-9BF8-4F5C-BAE4-8F5C549231ED}" name="SOLL HHJ 24-25_x000a_SP 07.09.2024"/>
    <tableColumn id="15" xr3:uid="{1A44A4EC-3C7F-4DB8-B5FF-52EB98D9FF80}" name="_x000a_IST HHJ 24-25_x000a_30.09.2025"/>
    <tableColumn id="18" xr3:uid="{1A1E1994-273C-43A9-8F69-B1B5279AA746}" name="SOLL HHJ 25-26_x000a_SP 07.09.2024_x000a_12tel-HH"/>
    <tableColumn id="17" xr3:uid="{4FD716DA-8F6F-435E-B1D8-9D15E205F43C}" name="ENTWURF AStA vom 5.7.2026" dataDxfId="1">
      <calculatedColumnFormula>N7+N11+N18+N23+N27+N32</calculatedColumnFormula>
    </tableColumn>
    <tableColumn id="6" xr3:uid="{9D37D7AB-0E6F-47A2-8A54-F17A445C9CAE}" name="_x000a_IST HHJ 25-26_x000a_31.10.2025"/>
    <tableColumn id="9" xr3:uid="{201FAC62-F938-40B3-8370-FCDE8286C01C}" name="_x000a_IST HHJ 25-26_x000a_30.11.2025" dataDxfId="0"/>
  </tableColumns>
  <tableStyleInfo name="TableStyleLight1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3B9D14-B5BD-4E59-9883-19E6DC54E729}">
  <sheetPr codeName="Tabelle1"/>
  <dimension ref="A1:AC311"/>
  <sheetViews>
    <sheetView zoomScale="150" zoomScaleNormal="150" workbookViewId="0">
      <pane xSplit="2" ySplit="5" topLeftCell="C260" activePane="bottomRight" state="frozen"/>
      <selection pane="bottomRight" activeCell="AC281" sqref="AC281"/>
      <selection pane="bottomLeft" activeCell="A6" sqref="A6"/>
      <selection pane="topRight" activeCell="C1" sqref="C1"/>
    </sheetView>
  </sheetViews>
  <sheetFormatPr defaultColWidth="11.42578125" defaultRowHeight="14.45" outlineLevelRow="3"/>
  <cols>
    <col min="1" max="1" width="11.28515625" style="24" customWidth="1"/>
    <col min="2" max="2" width="1" style="29" customWidth="1"/>
    <col min="3" max="3" width="15.28515625" customWidth="1"/>
    <col min="4" max="4" width="50.7109375" customWidth="1"/>
    <col min="5" max="5" width="15.7109375" style="13" hidden="1" customWidth="1"/>
    <col min="6" max="6" width="15" style="13" hidden="1" customWidth="1"/>
    <col min="7" max="7" width="17" style="13" hidden="1" customWidth="1"/>
    <col min="8" max="8" width="17.140625" hidden="1" customWidth="1"/>
    <col min="9" max="13" width="17" style="13" hidden="1" customWidth="1"/>
    <col min="14" max="14" width="17" style="13" customWidth="1"/>
    <col min="15" max="20" width="14.140625" hidden="1" customWidth="1"/>
    <col min="21" max="23" width="13.28515625" hidden="1" customWidth="1"/>
    <col min="24" max="24" width="13.28515625" customWidth="1"/>
    <col min="25" max="25" width="19.85546875" style="376" customWidth="1"/>
  </cols>
  <sheetData>
    <row r="1" spans="1:25" ht="23.45">
      <c r="A1" s="52" t="s">
        <v>0</v>
      </c>
      <c r="B1" s="25"/>
      <c r="C1" s="1"/>
      <c r="X1" s="463"/>
    </row>
    <row r="2" spans="1:25">
      <c r="X2" s="463"/>
    </row>
    <row r="3" spans="1:25" ht="15.6">
      <c r="A3" s="51" t="s">
        <v>1</v>
      </c>
      <c r="B3" s="25"/>
      <c r="C3" s="5"/>
      <c r="D3" s="5"/>
      <c r="E3" s="14"/>
      <c r="F3" s="14"/>
      <c r="G3" s="14"/>
      <c r="I3" s="14"/>
      <c r="J3" s="14"/>
      <c r="K3" s="14"/>
      <c r="L3" s="14"/>
      <c r="M3" s="14"/>
      <c r="N3" s="14"/>
      <c r="P3" s="259"/>
      <c r="T3" s="259"/>
      <c r="U3" s="259"/>
      <c r="V3" s="259"/>
      <c r="W3" s="259"/>
      <c r="X3" s="489">
        <v>46223</v>
      </c>
    </row>
    <row r="4" spans="1:25" ht="15.75">
      <c r="A4" s="41"/>
      <c r="B4" s="25"/>
      <c r="C4" s="5"/>
      <c r="D4" s="5"/>
      <c r="E4" s="113"/>
      <c r="F4" s="113"/>
      <c r="G4" s="14"/>
      <c r="I4" s="14"/>
      <c r="J4" s="14"/>
      <c r="K4" s="14"/>
      <c r="L4" s="14"/>
      <c r="M4" s="14"/>
      <c r="N4" s="14"/>
      <c r="X4" s="463"/>
    </row>
    <row r="5" spans="1:25" s="50" customFormat="1" ht="60.75">
      <c r="A5" s="48" t="s">
        <v>2</v>
      </c>
      <c r="B5" s="49" t="s">
        <v>3</v>
      </c>
      <c r="C5" s="48" t="s">
        <v>4</v>
      </c>
      <c r="D5" s="48" t="s">
        <v>5</v>
      </c>
      <c r="E5" s="117" t="s">
        <v>6</v>
      </c>
      <c r="F5" s="118" t="s">
        <v>7</v>
      </c>
      <c r="G5" s="148" t="s">
        <v>8</v>
      </c>
      <c r="H5" s="179" t="s">
        <v>9</v>
      </c>
      <c r="I5" s="148" t="s">
        <v>10</v>
      </c>
      <c r="J5" s="148" t="s">
        <v>11</v>
      </c>
      <c r="K5" s="344" t="s">
        <v>12</v>
      </c>
      <c r="L5" s="148" t="s">
        <v>13</v>
      </c>
      <c r="M5" s="148" t="s">
        <v>14</v>
      </c>
      <c r="N5" s="148" t="s">
        <v>15</v>
      </c>
      <c r="O5" s="248" t="s">
        <v>16</v>
      </c>
      <c r="P5" s="248" t="s">
        <v>17</v>
      </c>
      <c r="Q5" s="248" t="s">
        <v>18</v>
      </c>
      <c r="R5" s="248" t="s">
        <v>19</v>
      </c>
      <c r="S5" s="248" t="s">
        <v>20</v>
      </c>
      <c r="T5" s="248" t="s">
        <v>21</v>
      </c>
      <c r="U5" s="248" t="s">
        <v>22</v>
      </c>
      <c r="V5" s="248" t="s">
        <v>23</v>
      </c>
      <c r="W5" s="248" t="s">
        <v>24</v>
      </c>
      <c r="X5" s="464" t="s">
        <v>25</v>
      </c>
      <c r="Y5" s="464" t="s">
        <v>26</v>
      </c>
    </row>
    <row r="6" spans="1:25" s="6" customFormat="1" ht="15">
      <c r="A6" s="35" t="s">
        <v>27</v>
      </c>
      <c r="B6" s="26">
        <f t="shared" ref="B6:B65" si="0">ROW(B1)</f>
        <v>1</v>
      </c>
      <c r="C6" s="2"/>
      <c r="D6" s="2" t="s">
        <v>28</v>
      </c>
      <c r="E6" s="119">
        <v>600000</v>
      </c>
      <c r="F6" s="19">
        <f t="shared" ref="F6" si="1">F7+F11++F18+F23+F27+F32</f>
        <v>591157.19000000006</v>
      </c>
      <c r="G6" s="149">
        <v>1076950</v>
      </c>
      <c r="H6" s="149">
        <v>1076480.68</v>
      </c>
      <c r="I6" s="149">
        <v>774226.25</v>
      </c>
      <c r="J6" s="19">
        <v>1052549.3799999999</v>
      </c>
      <c r="K6" s="19">
        <f>K7+K11++K18+K23+K27+K32</f>
        <v>1094600</v>
      </c>
      <c r="L6" s="149">
        <v>538261.15</v>
      </c>
      <c r="M6" s="149">
        <v>1094600</v>
      </c>
      <c r="N6" s="149">
        <f t="shared" ref="N6" si="2">N7+N11+N18+N23+N27+N32</f>
        <v>5345.52</v>
      </c>
      <c r="O6" s="165">
        <f t="shared" ref="O6" si="3">O7+O11+O18+O23+O27+O32</f>
        <v>207</v>
      </c>
      <c r="P6" s="165">
        <f t="shared" ref="P6:T6" si="4">P7+P11+P18+P23+P27+P32</f>
        <v>1318.82</v>
      </c>
      <c r="Q6" s="165">
        <f t="shared" si="4"/>
        <v>1685.56</v>
      </c>
      <c r="R6" s="165">
        <f t="shared" si="4"/>
        <v>1775.56</v>
      </c>
      <c r="S6" s="165">
        <f t="shared" si="4"/>
        <v>3065.56</v>
      </c>
      <c r="T6" s="165">
        <f t="shared" si="4"/>
        <v>3883.53</v>
      </c>
      <c r="U6" s="165">
        <f t="shared" ref="U6" si="5">U7+U11++U18+U23+U27+U32</f>
        <v>4123.5300000000007</v>
      </c>
      <c r="V6" s="165">
        <f t="shared" ref="V6:W6" si="6">V7+V11++V18+V23+V27+V32</f>
        <v>4188.5300000000007</v>
      </c>
      <c r="W6" s="165">
        <f t="shared" si="6"/>
        <v>4261.38</v>
      </c>
      <c r="X6" s="465">
        <v>4301.38</v>
      </c>
      <c r="Y6" s="494">
        <v>4797.38</v>
      </c>
    </row>
    <row r="7" spans="1:25" ht="15" outlineLevel="1">
      <c r="A7" s="42" t="s">
        <v>29</v>
      </c>
      <c r="B7" s="27">
        <f t="shared" si="0"/>
        <v>2</v>
      </c>
      <c r="C7" s="4"/>
      <c r="D7" s="4" t="s">
        <v>30</v>
      </c>
      <c r="E7" s="120">
        <f>SUBTOTAL(9,E8:E9)</f>
        <v>560000</v>
      </c>
      <c r="F7" s="15">
        <f t="shared" ref="F7" si="7">SUBTOTAL(9,F8:F9)</f>
        <v>578722.64</v>
      </c>
      <c r="G7" s="150">
        <f t="shared" ref="G7" si="8">SUBTOTAL(9,G8:G9)</f>
        <v>1044000</v>
      </c>
      <c r="H7" s="150">
        <v>1066613.68</v>
      </c>
      <c r="I7" s="150">
        <f t="shared" ref="I7:Q7" si="9">SUBTOTAL(9,I8:I9)</f>
        <v>752600</v>
      </c>
      <c r="J7" s="150">
        <v>1047303.19</v>
      </c>
      <c r="K7" s="120">
        <v>1075000</v>
      </c>
      <c r="L7" s="150">
        <v>530792.35</v>
      </c>
      <c r="M7" s="150">
        <v>1075000</v>
      </c>
      <c r="N7" s="150">
        <f>SUBTOTAL(9,N8:N9)</f>
        <v>1305.52</v>
      </c>
      <c r="O7" s="166">
        <f t="shared" ref="O7" si="10">SUBTOTAL(9,O8:O9)</f>
        <v>0</v>
      </c>
      <c r="P7" s="166">
        <f t="shared" si="9"/>
        <v>800.81</v>
      </c>
      <c r="Q7" s="166">
        <f t="shared" si="9"/>
        <v>1052.55</v>
      </c>
      <c r="R7" s="166">
        <f t="shared" ref="R7:T7" si="11">SUBTOTAL(9,R8:R9)</f>
        <v>1052.55</v>
      </c>
      <c r="S7" s="166">
        <f t="shared" si="11"/>
        <v>1052.55</v>
      </c>
      <c r="T7" s="166">
        <f t="shared" si="11"/>
        <v>1305.52</v>
      </c>
      <c r="U7" s="166">
        <f t="shared" ref="U7" si="12">SUBTOTAL(9,U8:U9)</f>
        <v>1305.52</v>
      </c>
      <c r="V7" s="166">
        <f t="shared" ref="V7:W7" si="13">SUBTOTAL(9,V8:V9)</f>
        <v>1305.52</v>
      </c>
      <c r="W7" s="166">
        <f t="shared" si="13"/>
        <v>1305.52</v>
      </c>
      <c r="X7" s="466">
        <v>1305.52</v>
      </c>
      <c r="Y7" s="495">
        <v>1761.52</v>
      </c>
    </row>
    <row r="8" spans="1:25" ht="15" outlineLevel="2">
      <c r="A8" s="43" t="s">
        <v>31</v>
      </c>
      <c r="B8" s="28">
        <f t="shared" si="0"/>
        <v>3</v>
      </c>
      <c r="C8" s="3" t="s">
        <v>32</v>
      </c>
      <c r="D8" s="3" t="s">
        <v>33</v>
      </c>
      <c r="E8" s="121">
        <v>0</v>
      </c>
      <c r="F8" s="16"/>
      <c r="G8" s="151">
        <f>(58000*9)*1.05</f>
        <v>548100</v>
      </c>
      <c r="H8" s="151">
        <v>1066613.3799999999</v>
      </c>
      <c r="I8" s="151">
        <v>500850</v>
      </c>
      <c r="J8" s="151">
        <v>1047303.19</v>
      </c>
      <c r="K8" s="121">
        <v>535000</v>
      </c>
      <c r="L8" s="151">
        <v>526881.85</v>
      </c>
      <c r="M8" s="151">
        <v>535000</v>
      </c>
      <c r="N8" s="467">
        <v>1305.52</v>
      </c>
      <c r="O8" s="167">
        <v>0</v>
      </c>
      <c r="P8" s="167">
        <v>800.81</v>
      </c>
      <c r="Q8" s="167">
        <v>1052.55</v>
      </c>
      <c r="R8" s="167">
        <v>1052.55</v>
      </c>
      <c r="S8" s="167">
        <v>1052.55</v>
      </c>
      <c r="T8" s="167">
        <v>1305.52</v>
      </c>
      <c r="U8" s="167">
        <v>1305.52</v>
      </c>
      <c r="V8" s="167">
        <v>1305.52</v>
      </c>
      <c r="W8" s="167">
        <v>1305.52</v>
      </c>
      <c r="X8" s="467">
        <v>1305.52</v>
      </c>
      <c r="Y8" s="496">
        <v>1761.52</v>
      </c>
    </row>
    <row r="9" spans="1:25" ht="15" outlineLevel="2">
      <c r="A9" s="43" t="s">
        <v>34</v>
      </c>
      <c r="B9" s="28">
        <f t="shared" si="0"/>
        <v>4</v>
      </c>
      <c r="C9" s="3" t="s">
        <v>35</v>
      </c>
      <c r="D9" s="3" t="s">
        <v>36</v>
      </c>
      <c r="E9" s="122">
        <v>560000</v>
      </c>
      <c r="F9" s="123">
        <v>578722.64</v>
      </c>
      <c r="G9" s="152">
        <f>(58000*9)*0.95</f>
        <v>495900</v>
      </c>
      <c r="H9" s="152">
        <v>0</v>
      </c>
      <c r="I9" s="152">
        <v>251750</v>
      </c>
      <c r="J9" s="152">
        <v>0</v>
      </c>
      <c r="K9" s="122">
        <v>540000</v>
      </c>
      <c r="L9" s="152">
        <v>3910.5</v>
      </c>
      <c r="M9" s="152">
        <v>540000</v>
      </c>
      <c r="N9" s="152">
        <v>0</v>
      </c>
      <c r="O9" s="167">
        <v>0</v>
      </c>
      <c r="P9" s="167">
        <v>0</v>
      </c>
      <c r="Q9" s="167">
        <v>0</v>
      </c>
      <c r="R9" s="167">
        <v>0</v>
      </c>
      <c r="S9" s="167">
        <v>0</v>
      </c>
      <c r="T9" s="167">
        <v>0</v>
      </c>
      <c r="U9" s="167">
        <v>0</v>
      </c>
      <c r="V9" s="167">
        <v>0</v>
      </c>
      <c r="W9" s="167">
        <v>0</v>
      </c>
      <c r="X9" s="467">
        <v>0</v>
      </c>
      <c r="Y9" s="496">
        <v>0</v>
      </c>
    </row>
    <row r="10" spans="1:25" ht="15" outlineLevel="1">
      <c r="A10" s="44"/>
      <c r="B10" s="29">
        <f t="shared" si="0"/>
        <v>5</v>
      </c>
      <c r="C10" s="20"/>
      <c r="D10" s="20"/>
      <c r="E10" s="21"/>
      <c r="F10" s="21"/>
      <c r="G10" s="21"/>
      <c r="H10" s="21"/>
      <c r="I10" s="21"/>
      <c r="J10" s="21"/>
      <c r="K10" s="21"/>
      <c r="L10" s="21"/>
      <c r="M10" s="21"/>
      <c r="N10" s="21"/>
      <c r="O10" s="21"/>
      <c r="P10" s="21"/>
      <c r="Q10" s="169"/>
      <c r="R10" s="169"/>
      <c r="S10" s="169"/>
      <c r="T10" s="169"/>
      <c r="U10" s="169"/>
      <c r="V10" s="169"/>
      <c r="W10" s="169"/>
      <c r="X10" s="468"/>
      <c r="Y10" s="497"/>
    </row>
    <row r="11" spans="1:25" ht="15" outlineLevel="1">
      <c r="A11" s="42" t="s">
        <v>37</v>
      </c>
      <c r="B11" s="27">
        <f t="shared" si="0"/>
        <v>6</v>
      </c>
      <c r="C11" s="4"/>
      <c r="D11" s="4" t="s">
        <v>38</v>
      </c>
      <c r="E11" s="124">
        <f>SUBTOTAL(9,E12:E15)</f>
        <v>6000</v>
      </c>
      <c r="F11" s="125">
        <f t="shared" ref="F11" si="14">SUBTOTAL(9,F12:F15)</f>
        <v>6205</v>
      </c>
      <c r="G11" s="153">
        <f t="shared" ref="G11:H11" si="15">SUBTOTAL(9,G12:G15)</f>
        <v>2000</v>
      </c>
      <c r="H11" s="153">
        <f t="shared" si="15"/>
        <v>3805</v>
      </c>
      <c r="I11" s="295">
        <f t="shared" ref="I11" si="16">SUBTOTAL(9,I12:I15)</f>
        <v>4500</v>
      </c>
      <c r="J11" s="295">
        <v>369</v>
      </c>
      <c r="K11" s="295">
        <f>SUBTOTAL(9,K12:K15)</f>
        <v>5100</v>
      </c>
      <c r="L11" s="295">
        <v>1131</v>
      </c>
      <c r="M11" s="295">
        <v>5100</v>
      </c>
      <c r="N11" s="295">
        <f>SUBTOTAL(9,N12:N15)</f>
        <v>40</v>
      </c>
      <c r="O11" s="166">
        <f t="shared" ref="O11" si="17">SUBTOTAL(9,O12:O15)</f>
        <v>0</v>
      </c>
      <c r="P11" s="166">
        <f t="shared" ref="P11:Q11" si="18">SUBTOTAL(9,P12:P15)</f>
        <v>0</v>
      </c>
      <c r="Q11" s="166">
        <f t="shared" si="18"/>
        <v>0</v>
      </c>
      <c r="R11" s="166">
        <f t="shared" ref="R11:T11" si="19">SUBTOTAL(9,R12:R15)</f>
        <v>0</v>
      </c>
      <c r="S11" s="166">
        <f t="shared" si="19"/>
        <v>0</v>
      </c>
      <c r="T11" s="166">
        <f t="shared" si="19"/>
        <v>0</v>
      </c>
      <c r="U11" s="166">
        <f t="shared" ref="U11:V11" si="20">SUBTOTAL(9,U12:U15)</f>
        <v>0</v>
      </c>
      <c r="V11" s="166">
        <f t="shared" si="20"/>
        <v>0</v>
      </c>
      <c r="W11" s="166">
        <f t="shared" ref="W11" si="21">SUBTOTAL(9,W12:W15)</f>
        <v>32.85</v>
      </c>
      <c r="X11" s="466">
        <v>32.85</v>
      </c>
      <c r="Y11" s="495">
        <v>32.85</v>
      </c>
    </row>
    <row r="12" spans="1:25" ht="15" outlineLevel="2">
      <c r="A12" s="43" t="s">
        <v>39</v>
      </c>
      <c r="B12" s="28">
        <f t="shared" si="0"/>
        <v>7</v>
      </c>
      <c r="C12" s="3" t="s">
        <v>40</v>
      </c>
      <c r="D12" s="3" t="s">
        <v>41</v>
      </c>
      <c r="E12" s="121">
        <v>6000</v>
      </c>
      <c r="F12" s="16">
        <v>6205</v>
      </c>
      <c r="G12" s="151">
        <v>2000</v>
      </c>
      <c r="H12" s="151">
        <v>3805</v>
      </c>
      <c r="I12" s="151">
        <v>4000</v>
      </c>
      <c r="J12" s="151">
        <v>300</v>
      </c>
      <c r="K12" s="151">
        <v>1000</v>
      </c>
      <c r="L12" s="151">
        <v>1200</v>
      </c>
      <c r="M12" s="151">
        <v>1000</v>
      </c>
      <c r="N12" s="151">
        <v>0</v>
      </c>
      <c r="O12" s="167">
        <v>0</v>
      </c>
      <c r="P12" s="167">
        <v>0</v>
      </c>
      <c r="Q12" s="167">
        <v>0</v>
      </c>
      <c r="R12" s="167">
        <v>0</v>
      </c>
      <c r="S12" s="167">
        <v>0</v>
      </c>
      <c r="T12" s="167">
        <v>0</v>
      </c>
      <c r="U12" s="167">
        <v>0</v>
      </c>
      <c r="V12" s="167">
        <v>0</v>
      </c>
      <c r="W12" s="167">
        <v>0</v>
      </c>
      <c r="X12" s="467">
        <v>0</v>
      </c>
      <c r="Y12" s="496">
        <v>0</v>
      </c>
    </row>
    <row r="13" spans="1:25" ht="15" outlineLevel="2">
      <c r="A13" s="43" t="s">
        <v>42</v>
      </c>
      <c r="B13" s="28">
        <f t="shared" si="0"/>
        <v>8</v>
      </c>
      <c r="C13" s="55">
        <v>119.21</v>
      </c>
      <c r="D13" s="3" t="s">
        <v>43</v>
      </c>
      <c r="E13" s="121">
        <v>0</v>
      </c>
      <c r="F13" s="16">
        <v>0</v>
      </c>
      <c r="G13" s="151">
        <v>0</v>
      </c>
      <c r="H13" s="151">
        <v>0</v>
      </c>
      <c r="I13" s="151">
        <v>0</v>
      </c>
      <c r="J13" s="151">
        <v>0</v>
      </c>
      <c r="K13" s="151">
        <v>0</v>
      </c>
      <c r="L13" s="151">
        <v>0</v>
      </c>
      <c r="M13" s="151">
        <v>0</v>
      </c>
      <c r="N13" s="151">
        <v>0</v>
      </c>
      <c r="O13" s="167">
        <v>0</v>
      </c>
      <c r="P13" s="167">
        <v>0</v>
      </c>
      <c r="Q13" s="167">
        <v>0</v>
      </c>
      <c r="R13" s="167">
        <v>0</v>
      </c>
      <c r="S13" s="167">
        <v>0</v>
      </c>
      <c r="T13" s="167">
        <v>0</v>
      </c>
      <c r="U13" s="167">
        <v>0</v>
      </c>
      <c r="V13" s="167">
        <v>0</v>
      </c>
      <c r="W13" s="167">
        <v>0</v>
      </c>
      <c r="X13" s="467">
        <v>0</v>
      </c>
      <c r="Y13" s="496">
        <v>0</v>
      </c>
    </row>
    <row r="14" spans="1:25" ht="15" outlineLevel="2">
      <c r="A14" s="43" t="s">
        <v>44</v>
      </c>
      <c r="B14" s="28">
        <f>ROW(B9)</f>
        <v>9</v>
      </c>
      <c r="C14" s="3" t="s">
        <v>45</v>
      </c>
      <c r="D14" s="3" t="s">
        <v>46</v>
      </c>
      <c r="E14" s="121">
        <v>0</v>
      </c>
      <c r="F14" s="16">
        <v>0</v>
      </c>
      <c r="G14" s="151">
        <v>0</v>
      </c>
      <c r="H14" s="151">
        <v>0</v>
      </c>
      <c r="I14" s="151">
        <v>500</v>
      </c>
      <c r="J14" s="151">
        <v>0</v>
      </c>
      <c r="K14" s="151">
        <v>4000</v>
      </c>
      <c r="L14" s="151">
        <v>0</v>
      </c>
      <c r="M14" s="151">
        <v>4000</v>
      </c>
      <c r="N14" s="151">
        <v>0</v>
      </c>
      <c r="O14" s="167">
        <v>0</v>
      </c>
      <c r="P14" s="167">
        <v>0</v>
      </c>
      <c r="Q14" s="167">
        <v>0</v>
      </c>
      <c r="R14" s="167">
        <v>0</v>
      </c>
      <c r="S14" s="167">
        <v>0</v>
      </c>
      <c r="T14" s="167">
        <v>0</v>
      </c>
      <c r="U14" s="167">
        <v>0</v>
      </c>
      <c r="V14" s="167">
        <v>0</v>
      </c>
      <c r="W14" s="167">
        <v>0</v>
      </c>
      <c r="X14" s="467">
        <v>0</v>
      </c>
      <c r="Y14" s="496">
        <v>0</v>
      </c>
    </row>
    <row r="15" spans="1:25" ht="15" outlineLevel="2">
      <c r="A15" s="43" t="s">
        <v>47</v>
      </c>
      <c r="B15" s="28">
        <f>ROW(B9)</f>
        <v>9</v>
      </c>
      <c r="C15" s="3" t="s">
        <v>48</v>
      </c>
      <c r="D15" s="3" t="s">
        <v>49</v>
      </c>
      <c r="E15" s="122">
        <v>0</v>
      </c>
      <c r="F15" s="123">
        <v>0</v>
      </c>
      <c r="G15" s="152">
        <v>0</v>
      </c>
      <c r="H15" s="152">
        <v>0</v>
      </c>
      <c r="I15" s="152">
        <v>0</v>
      </c>
      <c r="J15" s="152">
        <v>69</v>
      </c>
      <c r="K15" s="152">
        <v>100</v>
      </c>
      <c r="L15" s="152">
        <v>-69</v>
      </c>
      <c r="M15" s="152">
        <v>100</v>
      </c>
      <c r="N15" s="152">
        <v>40</v>
      </c>
      <c r="O15" s="167">
        <v>0</v>
      </c>
      <c r="P15" s="167">
        <v>0</v>
      </c>
      <c r="Q15" s="167">
        <v>0</v>
      </c>
      <c r="R15" s="167">
        <v>0</v>
      </c>
      <c r="S15" s="167">
        <v>0</v>
      </c>
      <c r="T15" s="167">
        <v>0</v>
      </c>
      <c r="U15" s="167">
        <v>0</v>
      </c>
      <c r="V15" s="167">
        <v>0</v>
      </c>
      <c r="W15" s="167">
        <v>32.85</v>
      </c>
      <c r="X15" s="467">
        <v>32.85</v>
      </c>
      <c r="Y15" s="496">
        <v>32.85</v>
      </c>
    </row>
    <row r="16" spans="1:25" ht="15" outlineLevel="1">
      <c r="B16" s="29">
        <f>ROW(B10)</f>
        <v>10</v>
      </c>
      <c r="H16" s="13"/>
      <c r="O16" s="13"/>
      <c r="P16" s="13"/>
      <c r="Q16" s="168"/>
      <c r="R16" s="168"/>
      <c r="S16" s="168"/>
      <c r="T16" s="168"/>
      <c r="U16" s="168"/>
      <c r="V16" s="168"/>
      <c r="W16" s="168"/>
      <c r="X16" s="469"/>
      <c r="Y16" s="498"/>
    </row>
    <row r="17" spans="1:25" ht="15" outlineLevel="1">
      <c r="B17" s="29" t="e">
        <f>ROW(#REF!)</f>
        <v>#REF!</v>
      </c>
      <c r="H17" s="13"/>
      <c r="O17" s="13"/>
      <c r="P17" s="13"/>
      <c r="Q17" s="168"/>
      <c r="R17" s="168"/>
      <c r="S17" s="168"/>
      <c r="T17" s="168"/>
      <c r="U17" s="168"/>
      <c r="V17" s="168"/>
      <c r="W17" s="168"/>
      <c r="X17" s="469"/>
      <c r="Y17" s="498"/>
    </row>
    <row r="18" spans="1:25" ht="15" outlineLevel="1">
      <c r="A18" s="42" t="s">
        <v>50</v>
      </c>
      <c r="B18" s="27" t="e">
        <f>ROW(#REF!)</f>
        <v>#REF!</v>
      </c>
      <c r="C18" s="4"/>
      <c r="D18" s="4" t="s">
        <v>51</v>
      </c>
      <c r="E18" s="124">
        <f>SUBTOTAL(9,E19:E21)</f>
        <v>11625</v>
      </c>
      <c r="F18" s="125">
        <f t="shared" ref="F18:O18" si="22">SUBTOTAL(9,F19:F20)</f>
        <v>0</v>
      </c>
      <c r="G18" s="153">
        <v>10250</v>
      </c>
      <c r="H18" s="125">
        <f t="shared" si="22"/>
        <v>800</v>
      </c>
      <c r="I18" s="153">
        <v>2950</v>
      </c>
      <c r="J18" s="295">
        <v>2161.1999999999998</v>
      </c>
      <c r="K18" s="295">
        <f t="shared" si="22"/>
        <v>4000</v>
      </c>
      <c r="L18" s="295">
        <v>553.79999999999995</v>
      </c>
      <c r="M18" s="295">
        <v>4000</v>
      </c>
      <c r="N18" s="295">
        <f>SUBTOTAL(9,N19:N21)</f>
        <v>0</v>
      </c>
      <c r="O18" s="166">
        <f t="shared" si="22"/>
        <v>0</v>
      </c>
      <c r="P18" s="166">
        <f t="shared" ref="P18" si="23">SUBTOTAL(9,P19:P20)</f>
        <v>0</v>
      </c>
      <c r="Q18" s="166">
        <f t="shared" ref="Q18:R18" si="24">SUBTOTAL(9,Q19:Q20)</f>
        <v>0</v>
      </c>
      <c r="R18" s="166">
        <f t="shared" si="24"/>
        <v>0</v>
      </c>
      <c r="S18" s="166">
        <f t="shared" ref="S18:T18" si="25">SUBTOTAL(9,S19:S20)</f>
        <v>0</v>
      </c>
      <c r="T18" s="166">
        <f t="shared" si="25"/>
        <v>0</v>
      </c>
      <c r="U18" s="166">
        <f t="shared" ref="U18" si="26">SUBTOTAL(9,U19:U20)</f>
        <v>0</v>
      </c>
      <c r="V18" s="166">
        <f t="shared" ref="V18:W18" si="27">SUBTOTAL(9,V19:V20)</f>
        <v>0</v>
      </c>
      <c r="W18" s="166">
        <f t="shared" si="27"/>
        <v>0</v>
      </c>
      <c r="X18" s="466">
        <v>0</v>
      </c>
      <c r="Y18" s="495">
        <v>0</v>
      </c>
    </row>
    <row r="19" spans="1:25" ht="15" outlineLevel="2">
      <c r="A19" s="43" t="s">
        <v>52</v>
      </c>
      <c r="B19" s="28" t="e">
        <f>ROW(#REF!)</f>
        <v>#REF!</v>
      </c>
      <c r="C19" s="3" t="s">
        <v>53</v>
      </c>
      <c r="D19" s="11" t="s">
        <v>54</v>
      </c>
      <c r="E19" s="121">
        <v>500</v>
      </c>
      <c r="F19" s="16">
        <v>0</v>
      </c>
      <c r="G19" s="151">
        <v>5200</v>
      </c>
      <c r="H19" s="151">
        <v>160</v>
      </c>
      <c r="I19" s="151">
        <v>2500</v>
      </c>
      <c r="J19" s="151">
        <v>432.24</v>
      </c>
      <c r="K19" s="151">
        <v>2000</v>
      </c>
      <c r="L19" s="151">
        <v>0</v>
      </c>
      <c r="M19" s="151">
        <v>2000</v>
      </c>
      <c r="N19" s="151">
        <v>0</v>
      </c>
      <c r="O19" s="167">
        <v>0</v>
      </c>
      <c r="P19" s="167">
        <v>0</v>
      </c>
      <c r="Q19" s="167">
        <v>0</v>
      </c>
      <c r="R19" s="167">
        <v>0</v>
      </c>
      <c r="S19" s="167">
        <v>0</v>
      </c>
      <c r="T19" s="167">
        <v>0</v>
      </c>
      <c r="U19" s="167">
        <v>0</v>
      </c>
      <c r="V19" s="167">
        <v>0</v>
      </c>
      <c r="W19" s="167">
        <v>0</v>
      </c>
      <c r="X19" s="467">
        <v>0</v>
      </c>
      <c r="Y19" s="496">
        <v>0</v>
      </c>
    </row>
    <row r="20" spans="1:25" ht="15" outlineLevel="2">
      <c r="A20" s="43" t="s">
        <v>55</v>
      </c>
      <c r="B20" s="28" t="e">
        <f>ROW(#REF!)</f>
        <v>#REF!</v>
      </c>
      <c r="C20" s="3" t="s">
        <v>56</v>
      </c>
      <c r="D20" s="11" t="s">
        <v>57</v>
      </c>
      <c r="E20" s="121">
        <v>11125</v>
      </c>
      <c r="F20" s="16">
        <v>0</v>
      </c>
      <c r="G20" s="151">
        <v>5050</v>
      </c>
      <c r="H20" s="151">
        <v>640</v>
      </c>
      <c r="I20" s="151">
        <v>450</v>
      </c>
      <c r="J20" s="151">
        <v>1728.96</v>
      </c>
      <c r="K20" s="151">
        <v>2000</v>
      </c>
      <c r="L20" s="151">
        <v>553.79999999999995</v>
      </c>
      <c r="M20" s="151">
        <v>2000</v>
      </c>
      <c r="N20" s="151">
        <v>0</v>
      </c>
      <c r="O20" s="167">
        <v>0</v>
      </c>
      <c r="P20" s="167">
        <v>0</v>
      </c>
      <c r="Q20" s="167">
        <v>0</v>
      </c>
      <c r="R20" s="167">
        <v>0</v>
      </c>
      <c r="S20" s="167">
        <v>0</v>
      </c>
      <c r="T20" s="167">
        <v>0</v>
      </c>
      <c r="U20" s="167">
        <v>0</v>
      </c>
      <c r="V20" s="167">
        <v>0</v>
      </c>
      <c r="W20" s="167">
        <v>0</v>
      </c>
      <c r="X20" s="467">
        <v>0</v>
      </c>
      <c r="Y20" s="496">
        <v>0</v>
      </c>
    </row>
    <row r="21" spans="1:25" ht="15" outlineLevel="2">
      <c r="A21" s="43" t="s">
        <v>58</v>
      </c>
      <c r="B21" s="28" t="e">
        <f>ROW(#REF!)</f>
        <v>#REF!</v>
      </c>
      <c r="C21" s="3" t="s">
        <v>59</v>
      </c>
      <c r="D21" s="3" t="s">
        <v>60</v>
      </c>
      <c r="E21" s="122">
        <v>0</v>
      </c>
      <c r="F21" s="123">
        <v>0</v>
      </c>
      <c r="G21" s="152">
        <v>0</v>
      </c>
      <c r="H21" s="152">
        <v>0</v>
      </c>
      <c r="I21" s="152">
        <v>0</v>
      </c>
      <c r="J21" s="152"/>
      <c r="K21" s="152">
        <v>0</v>
      </c>
      <c r="L21" s="152">
        <v>0</v>
      </c>
      <c r="M21" s="152">
        <v>0</v>
      </c>
      <c r="N21" s="152">
        <v>0</v>
      </c>
      <c r="O21" s="16">
        <v>0</v>
      </c>
      <c r="P21" s="16">
        <v>0</v>
      </c>
      <c r="Q21" s="167">
        <v>0</v>
      </c>
      <c r="R21" s="167">
        <v>0</v>
      </c>
      <c r="S21" s="167">
        <v>0</v>
      </c>
      <c r="T21" s="167">
        <v>0</v>
      </c>
      <c r="U21" s="167">
        <v>0</v>
      </c>
      <c r="V21" s="167">
        <v>0</v>
      </c>
      <c r="W21" s="167">
        <v>0</v>
      </c>
      <c r="X21" s="467">
        <v>0</v>
      </c>
      <c r="Y21" s="496">
        <v>0</v>
      </c>
    </row>
    <row r="22" spans="1:25" ht="15" outlineLevel="1">
      <c r="B22" s="29">
        <f t="shared" si="0"/>
        <v>17</v>
      </c>
      <c r="H22" s="13"/>
      <c r="O22" s="13"/>
      <c r="P22" s="13"/>
      <c r="Q22" s="168"/>
      <c r="R22" s="168"/>
      <c r="S22" s="168"/>
      <c r="T22" s="168"/>
      <c r="U22" s="168"/>
      <c r="V22" s="168"/>
      <c r="W22" s="168"/>
      <c r="X22" s="469"/>
      <c r="Y22" s="498"/>
    </row>
    <row r="23" spans="1:25" ht="15" outlineLevel="1">
      <c r="A23" s="42" t="s">
        <v>61</v>
      </c>
      <c r="B23" s="27">
        <f t="shared" si="0"/>
        <v>18</v>
      </c>
      <c r="C23" s="4"/>
      <c r="D23" s="4" t="s">
        <v>62</v>
      </c>
      <c r="E23" s="124">
        <f>SUBTOTAL(9,E24:E25)</f>
        <v>0</v>
      </c>
      <c r="F23" s="125">
        <f t="shared" ref="F23" si="28">SUBTOTAL(9,F24:F25)</f>
        <v>0</v>
      </c>
      <c r="G23" s="153">
        <f t="shared" ref="G23:H23" si="29">SUBTOTAL(9,G24:G25)</f>
        <v>0</v>
      </c>
      <c r="H23" s="153">
        <f t="shared" si="29"/>
        <v>0</v>
      </c>
      <c r="I23" s="153">
        <f t="shared" ref="I23" si="30">SUBTOTAL(9,I24:I25)</f>
        <v>0</v>
      </c>
      <c r="J23" s="295">
        <v>0</v>
      </c>
      <c r="K23" s="295">
        <f>SUBTOTAL(9,K24:K25)</f>
        <v>500</v>
      </c>
      <c r="L23" s="295">
        <v>0</v>
      </c>
      <c r="M23" s="295">
        <v>500</v>
      </c>
      <c r="N23" s="295">
        <f>SUBTOTAL(9,N24:N25)</f>
        <v>0</v>
      </c>
      <c r="O23" s="166">
        <f t="shared" ref="O23" si="31">SUBTOTAL(9,O24:O25)</f>
        <v>0</v>
      </c>
      <c r="P23" s="166">
        <f t="shared" ref="P23:Q23" si="32">SUBTOTAL(9,P24:P25)</f>
        <v>0</v>
      </c>
      <c r="Q23" s="166">
        <f t="shared" si="32"/>
        <v>0</v>
      </c>
      <c r="R23" s="166">
        <f t="shared" ref="R23:T23" si="33">SUBTOTAL(9,R24:R25)</f>
        <v>0</v>
      </c>
      <c r="S23" s="166">
        <f t="shared" si="33"/>
        <v>0</v>
      </c>
      <c r="T23" s="166">
        <f t="shared" si="33"/>
        <v>0</v>
      </c>
      <c r="U23" s="166">
        <f t="shared" ref="U23" si="34">SUBTOTAL(9,U24:U25)</f>
        <v>0</v>
      </c>
      <c r="V23" s="166">
        <f t="shared" ref="V23:W23" si="35">SUBTOTAL(9,V24:V25)</f>
        <v>0</v>
      </c>
      <c r="W23" s="166">
        <f t="shared" si="35"/>
        <v>0</v>
      </c>
      <c r="X23" s="466">
        <v>0</v>
      </c>
      <c r="Y23" s="495">
        <v>0</v>
      </c>
    </row>
    <row r="24" spans="1:25" ht="15" outlineLevel="2">
      <c r="A24" s="43" t="s">
        <v>63</v>
      </c>
      <c r="B24" s="28">
        <f t="shared" si="0"/>
        <v>19</v>
      </c>
      <c r="C24" s="3" t="s">
        <v>59</v>
      </c>
      <c r="D24" s="11" t="s">
        <v>64</v>
      </c>
      <c r="E24" s="121">
        <v>0</v>
      </c>
      <c r="F24" s="16">
        <v>0</v>
      </c>
      <c r="G24" s="151">
        <v>0</v>
      </c>
      <c r="H24" s="151">
        <v>0</v>
      </c>
      <c r="I24" s="151">
        <v>0</v>
      </c>
      <c r="J24" s="151"/>
      <c r="K24" s="151">
        <v>500</v>
      </c>
      <c r="L24" s="151">
        <v>0</v>
      </c>
      <c r="M24" s="151">
        <v>500</v>
      </c>
      <c r="N24" s="151">
        <v>0</v>
      </c>
      <c r="O24" s="167">
        <v>0</v>
      </c>
      <c r="P24" s="167">
        <v>0</v>
      </c>
      <c r="Q24" s="167">
        <v>0</v>
      </c>
      <c r="R24" s="167">
        <v>0</v>
      </c>
      <c r="S24" s="167">
        <v>0</v>
      </c>
      <c r="T24" s="167">
        <v>0</v>
      </c>
      <c r="U24" s="167">
        <v>0</v>
      </c>
      <c r="V24" s="167">
        <v>0</v>
      </c>
      <c r="W24" s="167">
        <v>0</v>
      </c>
      <c r="X24" s="467">
        <v>0</v>
      </c>
      <c r="Y24" s="496">
        <v>0</v>
      </c>
    </row>
    <row r="25" spans="1:25" ht="15" outlineLevel="2">
      <c r="A25" s="43" t="s">
        <v>65</v>
      </c>
      <c r="B25" s="28">
        <f t="shared" si="0"/>
        <v>20</v>
      </c>
      <c r="C25" s="3" t="s">
        <v>59</v>
      </c>
      <c r="D25" s="3" t="s">
        <v>66</v>
      </c>
      <c r="E25" s="122">
        <v>0</v>
      </c>
      <c r="F25" s="123">
        <v>0</v>
      </c>
      <c r="G25" s="152">
        <v>0</v>
      </c>
      <c r="H25" s="152">
        <v>0</v>
      </c>
      <c r="I25" s="152">
        <v>0</v>
      </c>
      <c r="J25" s="152"/>
      <c r="K25" s="152">
        <v>0</v>
      </c>
      <c r="L25" s="152">
        <v>0</v>
      </c>
      <c r="M25" s="152">
        <v>0</v>
      </c>
      <c r="N25" s="152">
        <v>0</v>
      </c>
      <c r="O25" s="167">
        <v>0</v>
      </c>
      <c r="P25" s="167">
        <v>0</v>
      </c>
      <c r="Q25" s="167">
        <v>0</v>
      </c>
      <c r="R25" s="167">
        <v>0</v>
      </c>
      <c r="S25" s="167">
        <v>0</v>
      </c>
      <c r="T25" s="167">
        <v>0</v>
      </c>
      <c r="U25" s="167">
        <v>0</v>
      </c>
      <c r="V25" s="167">
        <v>0</v>
      </c>
      <c r="W25" s="167">
        <v>0</v>
      </c>
      <c r="X25" s="467">
        <v>0</v>
      </c>
      <c r="Y25" s="496">
        <v>0</v>
      </c>
    </row>
    <row r="26" spans="1:25" ht="15" outlineLevel="1">
      <c r="B26" s="29">
        <f t="shared" si="0"/>
        <v>21</v>
      </c>
      <c r="H26" s="13"/>
      <c r="O26" s="13"/>
      <c r="P26" s="13"/>
      <c r="Q26" s="168"/>
      <c r="R26" s="168"/>
      <c r="S26" s="168"/>
      <c r="T26" s="168"/>
      <c r="U26" s="168"/>
      <c r="V26" s="168"/>
      <c r="W26" s="168"/>
      <c r="X26" s="469"/>
      <c r="Y26" s="498"/>
    </row>
    <row r="27" spans="1:25" ht="15" outlineLevel="1">
      <c r="A27" s="42" t="s">
        <v>67</v>
      </c>
      <c r="B27" s="27">
        <f t="shared" si="0"/>
        <v>22</v>
      </c>
      <c r="C27" s="4"/>
      <c r="D27" s="4" t="s">
        <v>68</v>
      </c>
      <c r="E27" s="124">
        <f>SUBTOTAL(9,E28:E30)</f>
        <v>15375</v>
      </c>
      <c r="F27" s="125">
        <f t="shared" ref="F27" si="36">SUBTOTAL(9,F28:F30)</f>
        <v>0</v>
      </c>
      <c r="G27" s="153">
        <f t="shared" ref="G27:O27" si="37">SUBTOTAL(9,G28:G30)</f>
        <v>17100</v>
      </c>
      <c r="H27" s="153">
        <f t="shared" si="37"/>
        <v>0</v>
      </c>
      <c r="I27" s="153">
        <v>9176.25</v>
      </c>
      <c r="J27" s="295">
        <v>0</v>
      </c>
      <c r="K27" s="295">
        <f t="shared" si="37"/>
        <v>6000</v>
      </c>
      <c r="L27" s="295">
        <v>0</v>
      </c>
      <c r="M27" s="295">
        <v>6000</v>
      </c>
      <c r="N27" s="295">
        <f>SUBTOTAL(9,N28:N30)</f>
        <v>0</v>
      </c>
      <c r="O27" s="166">
        <f t="shared" si="37"/>
        <v>0</v>
      </c>
      <c r="P27" s="166">
        <f t="shared" ref="P27" si="38">SUBTOTAL(9,P28:P30)</f>
        <v>0</v>
      </c>
      <c r="Q27" s="166">
        <f t="shared" ref="Q27:R27" si="39">SUBTOTAL(9,Q28:Q30)</f>
        <v>0</v>
      </c>
      <c r="R27" s="166">
        <f t="shared" si="39"/>
        <v>0</v>
      </c>
      <c r="S27" s="166">
        <f t="shared" ref="S27:T27" si="40">SUBTOTAL(9,S28:S30)</f>
        <v>0</v>
      </c>
      <c r="T27" s="166">
        <f t="shared" si="40"/>
        <v>0</v>
      </c>
      <c r="U27" s="166">
        <f t="shared" ref="U27" si="41">SUBTOTAL(9,U28:U30)</f>
        <v>0</v>
      </c>
      <c r="V27" s="166">
        <f t="shared" ref="V27:W27" si="42">SUBTOTAL(9,V28:V30)</f>
        <v>0</v>
      </c>
      <c r="W27" s="166">
        <f t="shared" si="42"/>
        <v>0</v>
      </c>
      <c r="X27" s="466">
        <v>0</v>
      </c>
      <c r="Y27" s="495">
        <v>0</v>
      </c>
    </row>
    <row r="28" spans="1:25" ht="15" outlineLevel="2">
      <c r="A28" s="43" t="s">
        <v>69</v>
      </c>
      <c r="B28" s="28">
        <f t="shared" si="0"/>
        <v>23</v>
      </c>
      <c r="C28" s="3" t="s">
        <v>70</v>
      </c>
      <c r="D28" s="11" t="s">
        <v>71</v>
      </c>
      <c r="E28" s="121">
        <v>10875</v>
      </c>
      <c r="F28" s="16">
        <v>0</v>
      </c>
      <c r="G28" s="151">
        <v>10800</v>
      </c>
      <c r="H28" s="151">
        <v>0</v>
      </c>
      <c r="I28" s="151">
        <v>9176.25</v>
      </c>
      <c r="J28" s="151">
        <v>0</v>
      </c>
      <c r="K28" s="151">
        <v>5000</v>
      </c>
      <c r="L28" s="151">
        <v>0</v>
      </c>
      <c r="M28" s="151">
        <v>5000</v>
      </c>
      <c r="N28" s="151">
        <v>0</v>
      </c>
      <c r="O28" s="167">
        <v>0</v>
      </c>
      <c r="P28" s="167">
        <v>0</v>
      </c>
      <c r="Q28" s="167">
        <v>0</v>
      </c>
      <c r="R28" s="167">
        <v>0</v>
      </c>
      <c r="S28" s="167">
        <v>0</v>
      </c>
      <c r="T28" s="167">
        <v>0</v>
      </c>
      <c r="U28" s="167">
        <v>0</v>
      </c>
      <c r="V28" s="167">
        <v>0</v>
      </c>
      <c r="W28" s="167">
        <v>0</v>
      </c>
      <c r="X28" s="467">
        <v>0</v>
      </c>
      <c r="Y28" s="496">
        <v>0</v>
      </c>
    </row>
    <row r="29" spans="1:25" ht="15" outlineLevel="2">
      <c r="A29" s="43" t="s">
        <v>72</v>
      </c>
      <c r="B29" s="28">
        <f t="shared" si="0"/>
        <v>24</v>
      </c>
      <c r="C29" s="3" t="s">
        <v>73</v>
      </c>
      <c r="D29" s="11" t="s">
        <v>74</v>
      </c>
      <c r="E29" s="121">
        <v>4500</v>
      </c>
      <c r="F29" s="16">
        <v>0</v>
      </c>
      <c r="G29" s="151">
        <v>4800</v>
      </c>
      <c r="H29" s="151">
        <v>0</v>
      </c>
      <c r="I29" s="151">
        <v>0</v>
      </c>
      <c r="J29" s="151">
        <v>0</v>
      </c>
      <c r="K29" s="151">
        <v>1000</v>
      </c>
      <c r="L29" s="151">
        <v>0</v>
      </c>
      <c r="M29" s="151">
        <v>1000</v>
      </c>
      <c r="N29" s="151">
        <v>0</v>
      </c>
      <c r="O29" s="167">
        <v>0</v>
      </c>
      <c r="P29" s="167">
        <v>0</v>
      </c>
      <c r="Q29" s="167">
        <v>0</v>
      </c>
      <c r="R29" s="167">
        <v>0</v>
      </c>
      <c r="S29" s="167">
        <v>0</v>
      </c>
      <c r="T29" s="167">
        <v>0</v>
      </c>
      <c r="U29" s="167">
        <v>0</v>
      </c>
      <c r="V29" s="167">
        <v>0</v>
      </c>
      <c r="W29" s="167">
        <v>0</v>
      </c>
      <c r="X29" s="467">
        <v>0</v>
      </c>
      <c r="Y29" s="496">
        <v>0</v>
      </c>
    </row>
    <row r="30" spans="1:25" ht="15" outlineLevel="2">
      <c r="A30" s="43" t="s">
        <v>75</v>
      </c>
      <c r="B30" s="28">
        <f t="shared" si="0"/>
        <v>25</v>
      </c>
      <c r="C30" s="3" t="s">
        <v>59</v>
      </c>
      <c r="D30" s="11" t="s">
        <v>76</v>
      </c>
      <c r="E30" s="122">
        <v>0</v>
      </c>
      <c r="F30" s="123">
        <v>0</v>
      </c>
      <c r="G30" s="152">
        <v>1500</v>
      </c>
      <c r="H30" s="152">
        <v>0</v>
      </c>
      <c r="I30" s="152">
        <v>0</v>
      </c>
      <c r="J30" s="152"/>
      <c r="K30" s="152">
        <v>0</v>
      </c>
      <c r="L30" s="152">
        <v>0</v>
      </c>
      <c r="M30" s="152">
        <v>0</v>
      </c>
      <c r="N30" s="152">
        <v>0</v>
      </c>
      <c r="O30" s="167">
        <v>0</v>
      </c>
      <c r="P30" s="167">
        <v>0</v>
      </c>
      <c r="Q30" s="167">
        <v>0</v>
      </c>
      <c r="R30" s="167">
        <v>0</v>
      </c>
      <c r="S30" s="167">
        <v>0</v>
      </c>
      <c r="T30" s="167">
        <v>0</v>
      </c>
      <c r="U30" s="167">
        <v>0</v>
      </c>
      <c r="V30" s="167">
        <v>0</v>
      </c>
      <c r="W30" s="167">
        <v>0</v>
      </c>
      <c r="X30" s="467">
        <v>0</v>
      </c>
      <c r="Y30" s="496">
        <v>0</v>
      </c>
    </row>
    <row r="31" spans="1:25" ht="15" outlineLevel="1">
      <c r="B31" s="29">
        <f t="shared" si="0"/>
        <v>26</v>
      </c>
      <c r="H31" s="13"/>
      <c r="O31" s="13"/>
      <c r="P31" s="13"/>
      <c r="Q31" s="168"/>
      <c r="R31" s="168"/>
      <c r="S31" s="168"/>
      <c r="T31" s="168"/>
      <c r="U31" s="168"/>
      <c r="V31" s="168"/>
      <c r="W31" s="168"/>
      <c r="X31" s="469"/>
      <c r="Y31" s="498"/>
    </row>
    <row r="32" spans="1:25" ht="15" outlineLevel="1">
      <c r="A32" s="42" t="s">
        <v>77</v>
      </c>
      <c r="B32" s="27">
        <f t="shared" si="0"/>
        <v>27</v>
      </c>
      <c r="C32" s="4"/>
      <c r="D32" s="4" t="s">
        <v>78</v>
      </c>
      <c r="E32" s="124">
        <f>SUBTOTAL(9,E33:E34)</f>
        <v>7000</v>
      </c>
      <c r="F32" s="125">
        <f t="shared" ref="F32" si="43">SUBTOTAL(9,F33:F34)</f>
        <v>6229.55</v>
      </c>
      <c r="G32" s="153">
        <f t="shared" ref="G32:O32" si="44">SUBTOTAL(9,G33:G34)</f>
        <v>3600</v>
      </c>
      <c r="H32" s="153">
        <f t="shared" si="44"/>
        <v>5262</v>
      </c>
      <c r="I32" s="153">
        <v>5000</v>
      </c>
      <c r="J32" s="295">
        <v>2715.99</v>
      </c>
      <c r="K32" s="295">
        <f t="shared" si="44"/>
        <v>4000</v>
      </c>
      <c r="L32" s="295">
        <v>5784</v>
      </c>
      <c r="M32" s="295">
        <v>4000</v>
      </c>
      <c r="N32" s="295">
        <f>SUBTOTAL(9,N33:N34)</f>
        <v>4000</v>
      </c>
      <c r="O32" s="166">
        <f t="shared" si="44"/>
        <v>207</v>
      </c>
      <c r="P32" s="166">
        <f t="shared" ref="P32" si="45">SUBTOTAL(9,P33:P34)</f>
        <v>518.01</v>
      </c>
      <c r="Q32" s="166">
        <f t="shared" ref="Q32:R32" si="46">SUBTOTAL(9,Q33:Q34)</f>
        <v>633.01</v>
      </c>
      <c r="R32" s="166">
        <f t="shared" si="46"/>
        <v>723.01</v>
      </c>
      <c r="S32" s="166">
        <f t="shared" ref="S32:T32" si="47">SUBTOTAL(9,S33:S34)</f>
        <v>2013.01</v>
      </c>
      <c r="T32" s="166">
        <f t="shared" si="47"/>
        <v>2578.0100000000002</v>
      </c>
      <c r="U32" s="166">
        <f t="shared" ref="U32" si="48">SUBTOTAL(9,U33:U34)</f>
        <v>2818.01</v>
      </c>
      <c r="V32" s="166">
        <f t="shared" ref="V32:W32" si="49">SUBTOTAL(9,V33:V34)</f>
        <v>2883.01</v>
      </c>
      <c r="W32" s="166">
        <f t="shared" si="49"/>
        <v>2923.01</v>
      </c>
      <c r="X32" s="466">
        <v>2963.01</v>
      </c>
      <c r="Y32" s="495">
        <v>3003.01</v>
      </c>
    </row>
    <row r="33" spans="1:25" ht="15" outlineLevel="3">
      <c r="A33" s="43" t="s">
        <v>79</v>
      </c>
      <c r="B33" s="28">
        <f t="shared" si="0"/>
        <v>28</v>
      </c>
      <c r="C33" s="3" t="s">
        <v>77</v>
      </c>
      <c r="D33" s="3" t="s">
        <v>80</v>
      </c>
      <c r="E33" s="121">
        <v>7000</v>
      </c>
      <c r="F33" s="16">
        <v>6229.55</v>
      </c>
      <c r="G33" s="151">
        <v>3600</v>
      </c>
      <c r="H33" s="151">
        <v>5262</v>
      </c>
      <c r="I33" s="151">
        <v>5000</v>
      </c>
      <c r="J33" s="151">
        <v>2715.99</v>
      </c>
      <c r="K33" s="151">
        <v>4000</v>
      </c>
      <c r="L33" s="151">
        <v>5784</v>
      </c>
      <c r="M33" s="151">
        <v>4000</v>
      </c>
      <c r="N33" s="151">
        <v>4000</v>
      </c>
      <c r="O33" s="167">
        <v>207</v>
      </c>
      <c r="P33" s="167">
        <v>518.01</v>
      </c>
      <c r="Q33" s="167">
        <v>633.01</v>
      </c>
      <c r="R33" s="167">
        <v>723.01</v>
      </c>
      <c r="S33" s="167">
        <v>2013.01</v>
      </c>
      <c r="T33" s="167">
        <v>2578.0100000000002</v>
      </c>
      <c r="U33" s="167">
        <v>2818.01</v>
      </c>
      <c r="V33" s="167">
        <v>2883.01</v>
      </c>
      <c r="W33" s="167">
        <v>2923.01</v>
      </c>
      <c r="X33" s="467">
        <v>2963.01</v>
      </c>
      <c r="Y33" s="496">
        <v>3003.01</v>
      </c>
    </row>
    <row r="34" spans="1:25" ht="15" outlineLevel="3">
      <c r="A34" s="43" t="s">
        <v>81</v>
      </c>
      <c r="B34" s="28">
        <f t="shared" si="0"/>
        <v>29</v>
      </c>
      <c r="C34" s="3" t="s">
        <v>59</v>
      </c>
      <c r="D34" s="3" t="s">
        <v>82</v>
      </c>
      <c r="E34" s="122">
        <v>0</v>
      </c>
      <c r="F34" s="123">
        <v>0</v>
      </c>
      <c r="G34" s="152">
        <v>0</v>
      </c>
      <c r="H34" s="152">
        <v>0</v>
      </c>
      <c r="I34" s="152">
        <v>0</v>
      </c>
      <c r="J34" s="152"/>
      <c r="K34" s="152">
        <v>0</v>
      </c>
      <c r="L34" s="152">
        <v>0</v>
      </c>
      <c r="M34" s="152">
        <v>0</v>
      </c>
      <c r="N34" s="152">
        <v>0</v>
      </c>
      <c r="O34" s="167">
        <v>0</v>
      </c>
      <c r="P34" s="167">
        <v>0</v>
      </c>
      <c r="Q34" s="167">
        <v>0</v>
      </c>
      <c r="R34" s="167">
        <v>0</v>
      </c>
      <c r="S34" s="167">
        <v>0</v>
      </c>
      <c r="T34" s="167">
        <v>0</v>
      </c>
      <c r="U34" s="167">
        <v>0</v>
      </c>
      <c r="V34" s="167">
        <v>0</v>
      </c>
      <c r="W34" s="167">
        <v>0</v>
      </c>
      <c r="X34" s="467">
        <v>0</v>
      </c>
      <c r="Y34" s="496">
        <v>0</v>
      </c>
    </row>
    <row r="35" spans="1:25" ht="15">
      <c r="B35" s="29">
        <f t="shared" si="0"/>
        <v>30</v>
      </c>
      <c r="H35" s="13"/>
      <c r="O35" s="13"/>
      <c r="P35" s="13"/>
      <c r="Q35" s="168"/>
      <c r="R35" s="168"/>
      <c r="S35" s="168"/>
      <c r="T35" s="168"/>
      <c r="U35" s="168"/>
      <c r="V35" s="168"/>
      <c r="W35" s="168"/>
      <c r="X35" s="469"/>
      <c r="Y35" s="498"/>
    </row>
    <row r="36" spans="1:25" ht="15">
      <c r="A36" s="35" t="s">
        <v>83</v>
      </c>
      <c r="B36" s="26">
        <f t="shared" si="0"/>
        <v>31</v>
      </c>
      <c r="C36" s="2"/>
      <c r="D36" s="2" t="s">
        <v>84</v>
      </c>
      <c r="E36" s="126">
        <v>85000</v>
      </c>
      <c r="F36" s="127">
        <v>89402</v>
      </c>
      <c r="G36" s="154">
        <v>146529.5</v>
      </c>
      <c r="H36" s="154">
        <v>71915.37</v>
      </c>
      <c r="I36" s="154">
        <v>118160</v>
      </c>
      <c r="J36" s="154">
        <v>82434.34</v>
      </c>
      <c r="K36" s="154">
        <f>K37+K44+K51</f>
        <v>95000</v>
      </c>
      <c r="L36" s="154">
        <v>85344.97</v>
      </c>
      <c r="M36" s="154">
        <v>95000</v>
      </c>
      <c r="N36" s="154">
        <f>N37+N44+N51</f>
        <v>83000</v>
      </c>
      <c r="O36" s="165">
        <f t="shared" ref="O36" si="50">O37+O44+O51</f>
        <v>3929.1</v>
      </c>
      <c r="P36" s="165">
        <f t="shared" ref="P36" si="51">P37+P44+P51</f>
        <v>7164.1</v>
      </c>
      <c r="Q36" s="165">
        <f t="shared" ref="Q36:R36" si="52">Q37+Q44+Q51</f>
        <v>7379</v>
      </c>
      <c r="R36" s="165">
        <f t="shared" si="52"/>
        <v>24851.89</v>
      </c>
      <c r="S36" s="165">
        <f t="shared" ref="S36:T36" si="53">S37+S44+S51</f>
        <v>38687.479999999996</v>
      </c>
      <c r="T36" s="165">
        <f t="shared" si="53"/>
        <v>42187.479999999996</v>
      </c>
      <c r="U36" s="165">
        <f t="shared" ref="U36" si="54">U37+U44+U51</f>
        <v>42712.479999999996</v>
      </c>
      <c r="V36" s="165">
        <f t="shared" ref="V36:W36" si="55">V37+V44+V51</f>
        <v>44657.479999999996</v>
      </c>
      <c r="W36" s="165">
        <f t="shared" si="55"/>
        <v>44322.479999999996</v>
      </c>
      <c r="X36" s="465">
        <v>54805.279999999999</v>
      </c>
      <c r="Y36" s="494">
        <v>79377.36</v>
      </c>
    </row>
    <row r="37" spans="1:25" ht="15" outlineLevel="1">
      <c r="A37" s="42" t="s">
        <v>85</v>
      </c>
      <c r="B37" s="27">
        <f t="shared" si="0"/>
        <v>32</v>
      </c>
      <c r="C37" s="4"/>
      <c r="D37" s="4" t="s">
        <v>86</v>
      </c>
      <c r="E37" s="120">
        <v>85000</v>
      </c>
      <c r="F37" s="15">
        <v>89402</v>
      </c>
      <c r="G37" s="150">
        <v>145329.5</v>
      </c>
      <c r="H37" s="150">
        <v>71915.37</v>
      </c>
      <c r="I37" s="150">
        <v>117660</v>
      </c>
      <c r="J37" s="150">
        <v>82434.34</v>
      </c>
      <c r="K37" s="150">
        <f>SUBTOTAL(9,K38:K42)</f>
        <v>95000</v>
      </c>
      <c r="L37" s="150">
        <v>85344.97</v>
      </c>
      <c r="M37" s="150">
        <v>95000</v>
      </c>
      <c r="N37" s="379">
        <f>SUBTOTAL(9,N38:N42)</f>
        <v>83000</v>
      </c>
      <c r="O37" s="166">
        <f t="shared" ref="O37" si="56">SUBTOTAL(9,O38:O42)</f>
        <v>3929.1</v>
      </c>
      <c r="P37" s="166">
        <f t="shared" ref="P37" si="57">SUBTOTAL(9,P38:P42)</f>
        <v>7164.1</v>
      </c>
      <c r="Q37" s="166">
        <f t="shared" ref="Q37:R37" si="58">SUBTOTAL(9,Q38:Q42)</f>
        <v>7379</v>
      </c>
      <c r="R37" s="166">
        <f t="shared" si="58"/>
        <v>24851.89</v>
      </c>
      <c r="S37" s="166">
        <f t="shared" ref="S37:T37" si="59">SUBTOTAL(9,S38:S42)</f>
        <v>38687.479999999996</v>
      </c>
      <c r="T37" s="166">
        <f t="shared" si="59"/>
        <v>42187.479999999996</v>
      </c>
      <c r="U37" s="166">
        <f t="shared" ref="U37" si="60">SUBTOTAL(9,U38:U42)</f>
        <v>42712.479999999996</v>
      </c>
      <c r="V37" s="166">
        <f t="shared" ref="V37:W37" si="61">SUBTOTAL(9,V38:V42)</f>
        <v>44657.479999999996</v>
      </c>
      <c r="W37" s="166">
        <f t="shared" si="61"/>
        <v>44322.479999999996</v>
      </c>
      <c r="X37" s="466">
        <v>54805.279999999999</v>
      </c>
      <c r="Y37" s="495">
        <v>79377.36</v>
      </c>
    </row>
    <row r="38" spans="1:25" ht="15" outlineLevel="2">
      <c r="A38" s="43" t="s">
        <v>87</v>
      </c>
      <c r="B38" s="28">
        <f t="shared" si="0"/>
        <v>33</v>
      </c>
      <c r="C38" s="3" t="s">
        <v>52</v>
      </c>
      <c r="D38" s="11" t="s">
        <v>88</v>
      </c>
      <c r="E38" s="121">
        <v>23000</v>
      </c>
      <c r="F38" s="16">
        <v>37605</v>
      </c>
      <c r="G38" s="151">
        <v>56381</v>
      </c>
      <c r="H38" s="151">
        <v>37655.370000000003</v>
      </c>
      <c r="I38" s="151">
        <v>46150</v>
      </c>
      <c r="J38" s="151">
        <v>44449.34</v>
      </c>
      <c r="K38" s="151">
        <v>48000</v>
      </c>
      <c r="L38" s="151">
        <v>45959.97</v>
      </c>
      <c r="M38" s="151">
        <v>48000</v>
      </c>
      <c r="N38" s="151">
        <v>45000</v>
      </c>
      <c r="O38" s="167">
        <v>449.1</v>
      </c>
      <c r="P38" s="167">
        <v>449.1</v>
      </c>
      <c r="Q38" s="167">
        <v>499</v>
      </c>
      <c r="R38" s="167">
        <v>14071.89</v>
      </c>
      <c r="S38" s="167">
        <v>21357.48</v>
      </c>
      <c r="T38" s="167">
        <v>21307.48</v>
      </c>
      <c r="U38" s="167">
        <v>21307.48</v>
      </c>
      <c r="V38" s="167">
        <v>21307.48</v>
      </c>
      <c r="W38" s="167">
        <v>21307.48</v>
      </c>
      <c r="X38" s="467">
        <v>29890.28</v>
      </c>
      <c r="Y38" s="496">
        <v>43062.36</v>
      </c>
    </row>
    <row r="39" spans="1:25" ht="15" outlineLevel="2">
      <c r="A39" s="43" t="s">
        <v>89</v>
      </c>
      <c r="B39" s="28">
        <f t="shared" si="0"/>
        <v>34</v>
      </c>
      <c r="C39" s="3" t="s">
        <v>55</v>
      </c>
      <c r="D39" s="11" t="s">
        <v>90</v>
      </c>
      <c r="E39" s="121">
        <v>1500</v>
      </c>
      <c r="F39" s="16">
        <v>318</v>
      </c>
      <c r="G39" s="151">
        <v>10576</v>
      </c>
      <c r="H39" s="151">
        <v>2690</v>
      </c>
      <c r="I39" s="151">
        <v>8510</v>
      </c>
      <c r="J39" s="151">
        <v>2595</v>
      </c>
      <c r="K39" s="151">
        <v>4500</v>
      </c>
      <c r="L39" s="151">
        <v>1200</v>
      </c>
      <c r="M39" s="151">
        <v>4500</v>
      </c>
      <c r="N39" s="151">
        <v>0</v>
      </c>
      <c r="O39" s="167">
        <v>0</v>
      </c>
      <c r="P39" s="167">
        <v>0</v>
      </c>
      <c r="Q39" s="167">
        <v>0</v>
      </c>
      <c r="R39" s="167">
        <v>0</v>
      </c>
      <c r="S39" s="167">
        <v>0</v>
      </c>
      <c r="T39" s="167">
        <v>0</v>
      </c>
      <c r="U39" s="167">
        <v>0</v>
      </c>
      <c r="V39" s="167">
        <v>0</v>
      </c>
      <c r="W39" s="167">
        <v>0</v>
      </c>
      <c r="X39" s="467">
        <v>0</v>
      </c>
      <c r="Y39" s="496">
        <v>0</v>
      </c>
    </row>
    <row r="40" spans="1:25" ht="15" outlineLevel="2">
      <c r="A40" s="43" t="s">
        <v>91</v>
      </c>
      <c r="B40" s="28">
        <f t="shared" si="0"/>
        <v>35</v>
      </c>
      <c r="C40" s="3" t="s">
        <v>92</v>
      </c>
      <c r="D40" s="11" t="s">
        <v>93</v>
      </c>
      <c r="E40" s="121">
        <v>24000</v>
      </c>
      <c r="F40" s="16">
        <v>23964</v>
      </c>
      <c r="G40" s="151">
        <v>29222</v>
      </c>
      <c r="H40" s="151">
        <v>0</v>
      </c>
      <c r="I40" s="151">
        <v>24000</v>
      </c>
      <c r="J40" s="151">
        <v>0</v>
      </c>
      <c r="K40" s="151">
        <v>4500</v>
      </c>
      <c r="L40" s="151">
        <v>0</v>
      </c>
      <c r="M40" s="151">
        <v>4500</v>
      </c>
      <c r="N40" s="151">
        <v>0</v>
      </c>
      <c r="O40" s="167">
        <v>0</v>
      </c>
      <c r="P40" s="167">
        <v>0</v>
      </c>
      <c r="Q40" s="167">
        <v>0</v>
      </c>
      <c r="R40" s="167">
        <v>0</v>
      </c>
      <c r="S40" s="167">
        <v>0</v>
      </c>
      <c r="T40" s="167">
        <v>0</v>
      </c>
      <c r="U40" s="167">
        <v>0</v>
      </c>
      <c r="V40" s="167">
        <v>0</v>
      </c>
      <c r="W40" s="167">
        <v>0</v>
      </c>
      <c r="X40" s="467">
        <v>0</v>
      </c>
      <c r="Y40" s="496">
        <v>0</v>
      </c>
    </row>
    <row r="41" spans="1:25" ht="15" outlineLevel="2">
      <c r="A41" s="43" t="s">
        <v>94</v>
      </c>
      <c r="B41" s="28">
        <f t="shared" si="0"/>
        <v>36</v>
      </c>
      <c r="C41" s="3" t="s">
        <v>95</v>
      </c>
      <c r="D41" s="11" t="s">
        <v>96</v>
      </c>
      <c r="E41" s="121">
        <v>32000</v>
      </c>
      <c r="F41" s="16">
        <v>24965</v>
      </c>
      <c r="G41" s="151">
        <v>29578</v>
      </c>
      <c r="H41" s="151">
        <v>23885</v>
      </c>
      <c r="I41" s="151">
        <v>23500</v>
      </c>
      <c r="J41" s="151">
        <v>28160</v>
      </c>
      <c r="K41" s="151">
        <v>25000</v>
      </c>
      <c r="L41" s="151">
        <v>26800</v>
      </c>
      <c r="M41" s="151">
        <v>25000</v>
      </c>
      <c r="N41" s="151">
        <v>25000</v>
      </c>
      <c r="O41" s="167">
        <v>1400</v>
      </c>
      <c r="P41" s="167">
        <v>3700</v>
      </c>
      <c r="Q41" s="167">
        <v>3700</v>
      </c>
      <c r="R41" s="167">
        <v>7600</v>
      </c>
      <c r="S41" s="167">
        <v>14150</v>
      </c>
      <c r="T41" s="167">
        <v>15000</v>
      </c>
      <c r="U41" s="167">
        <v>15350</v>
      </c>
      <c r="V41" s="167">
        <v>15800</v>
      </c>
      <c r="W41" s="167">
        <v>15300</v>
      </c>
      <c r="X41" s="467">
        <v>17200</v>
      </c>
      <c r="Y41" s="496">
        <v>26800</v>
      </c>
    </row>
    <row r="42" spans="1:25" ht="15" outlineLevel="2">
      <c r="A42" s="43" t="s">
        <v>97</v>
      </c>
      <c r="B42" s="28">
        <f t="shared" si="0"/>
        <v>37</v>
      </c>
      <c r="C42" s="3" t="s">
        <v>58</v>
      </c>
      <c r="D42" s="11" t="s">
        <v>98</v>
      </c>
      <c r="E42" s="122">
        <v>4500</v>
      </c>
      <c r="F42" s="123">
        <v>2550</v>
      </c>
      <c r="G42" s="152">
        <v>19572.5</v>
      </c>
      <c r="H42" s="152">
        <v>7685</v>
      </c>
      <c r="I42" s="152">
        <v>15500</v>
      </c>
      <c r="J42" s="152">
        <v>7230</v>
      </c>
      <c r="K42" s="152">
        <v>13000</v>
      </c>
      <c r="L42" s="152">
        <v>11385</v>
      </c>
      <c r="M42" s="152">
        <v>13000</v>
      </c>
      <c r="N42" s="152">
        <v>13000</v>
      </c>
      <c r="O42" s="167">
        <v>2080</v>
      </c>
      <c r="P42" s="167">
        <v>3015</v>
      </c>
      <c r="Q42" s="167">
        <v>3180</v>
      </c>
      <c r="R42" s="167">
        <v>3180</v>
      </c>
      <c r="S42" s="167">
        <v>3180</v>
      </c>
      <c r="T42" s="167">
        <v>5880</v>
      </c>
      <c r="U42" s="167">
        <v>6055</v>
      </c>
      <c r="V42" s="167">
        <v>7550</v>
      </c>
      <c r="W42" s="167">
        <v>7715</v>
      </c>
      <c r="X42" s="467">
        <v>7715</v>
      </c>
      <c r="Y42" s="496">
        <v>9515</v>
      </c>
    </row>
    <row r="43" spans="1:25" ht="15" outlineLevel="1">
      <c r="B43" s="29">
        <f t="shared" si="0"/>
        <v>38</v>
      </c>
      <c r="H43" s="13"/>
      <c r="O43" s="13"/>
      <c r="P43" s="13"/>
      <c r="Q43" s="168"/>
      <c r="R43" s="168"/>
      <c r="S43" s="168"/>
      <c r="T43" s="168"/>
      <c r="U43" s="168"/>
      <c r="V43" s="168"/>
      <c r="W43" s="168"/>
      <c r="X43" s="469"/>
      <c r="Y43" s="498"/>
    </row>
    <row r="44" spans="1:25" ht="15" outlineLevel="1">
      <c r="A44" s="42" t="s">
        <v>99</v>
      </c>
      <c r="B44" s="27">
        <f t="shared" si="0"/>
        <v>39</v>
      </c>
      <c r="C44" s="4"/>
      <c r="D44" s="4" t="s">
        <v>100</v>
      </c>
      <c r="E44" s="124">
        <v>0</v>
      </c>
      <c r="F44" s="125">
        <f t="shared" ref="F44" si="62">SUBTOTAL(9,F45:F49)</f>
        <v>0</v>
      </c>
      <c r="G44" s="153">
        <v>1200</v>
      </c>
      <c r="H44" s="153">
        <v>0</v>
      </c>
      <c r="I44" s="153">
        <v>500</v>
      </c>
      <c r="J44" s="295">
        <v>0</v>
      </c>
      <c r="K44" s="295">
        <f>SUBTOTAL(9,K45:K49)</f>
        <v>0</v>
      </c>
      <c r="L44" s="295">
        <v>0</v>
      </c>
      <c r="M44" s="295">
        <v>0</v>
      </c>
      <c r="N44" s="295">
        <f>SUBTOTAL(9,N45:N49)</f>
        <v>0</v>
      </c>
      <c r="O44" s="166">
        <f t="shared" ref="O44" si="63">SUBTOTAL(9,O45:O49)</f>
        <v>0</v>
      </c>
      <c r="P44" s="166">
        <f t="shared" ref="P44:Q44" si="64">SUBTOTAL(9,P45:P49)</f>
        <v>0</v>
      </c>
      <c r="Q44" s="166">
        <f t="shared" si="64"/>
        <v>0</v>
      </c>
      <c r="R44" s="166">
        <f t="shared" ref="R44:T44" si="65">SUBTOTAL(9,R45:R49)</f>
        <v>0</v>
      </c>
      <c r="S44" s="166">
        <f t="shared" si="65"/>
        <v>0</v>
      </c>
      <c r="T44" s="166">
        <f t="shared" si="65"/>
        <v>0</v>
      </c>
      <c r="U44" s="166">
        <f t="shared" ref="U44" si="66">SUBTOTAL(9,U45:U49)</f>
        <v>0</v>
      </c>
      <c r="V44" s="166">
        <f t="shared" ref="V44:W44" si="67">SUBTOTAL(9,V45:V49)</f>
        <v>0</v>
      </c>
      <c r="W44" s="166">
        <f t="shared" si="67"/>
        <v>0</v>
      </c>
      <c r="X44" s="466">
        <v>0</v>
      </c>
      <c r="Y44" s="495">
        <v>0</v>
      </c>
    </row>
    <row r="45" spans="1:25" ht="15" outlineLevel="2">
      <c r="A45" s="43" t="s">
        <v>101</v>
      </c>
      <c r="B45" s="28">
        <f t="shared" si="0"/>
        <v>40</v>
      </c>
      <c r="C45" s="3" t="s">
        <v>59</v>
      </c>
      <c r="D45" s="11" t="s">
        <v>88</v>
      </c>
      <c r="E45" s="121">
        <v>0</v>
      </c>
      <c r="F45" s="16">
        <v>0</v>
      </c>
      <c r="G45" s="151">
        <v>0</v>
      </c>
      <c r="H45" s="151">
        <v>0</v>
      </c>
      <c r="I45" s="151">
        <v>0</v>
      </c>
      <c r="J45" s="151"/>
      <c r="K45" s="151">
        <v>0</v>
      </c>
      <c r="L45" s="151">
        <v>0</v>
      </c>
      <c r="M45" s="151">
        <v>0</v>
      </c>
      <c r="N45" s="151">
        <v>0</v>
      </c>
      <c r="O45" s="167">
        <v>0</v>
      </c>
      <c r="P45" s="167">
        <v>0</v>
      </c>
      <c r="Q45" s="167">
        <v>0</v>
      </c>
      <c r="R45" s="167">
        <v>0</v>
      </c>
      <c r="S45" s="167">
        <v>0</v>
      </c>
      <c r="T45" s="167">
        <v>0</v>
      </c>
      <c r="U45" s="167">
        <v>0</v>
      </c>
      <c r="V45" s="167">
        <v>0</v>
      </c>
      <c r="W45" s="167">
        <v>0</v>
      </c>
      <c r="X45" s="467">
        <v>0</v>
      </c>
      <c r="Y45" s="496">
        <v>0</v>
      </c>
    </row>
    <row r="46" spans="1:25" ht="15" outlineLevel="2">
      <c r="A46" s="43" t="s">
        <v>102</v>
      </c>
      <c r="B46" s="28">
        <f t="shared" si="0"/>
        <v>41</v>
      </c>
      <c r="C46" s="3" t="s">
        <v>59</v>
      </c>
      <c r="D46" s="11" t="s">
        <v>90</v>
      </c>
      <c r="E46" s="121">
        <v>0</v>
      </c>
      <c r="F46" s="16">
        <v>0</v>
      </c>
      <c r="G46" s="151">
        <v>1200</v>
      </c>
      <c r="H46" s="151">
        <v>0</v>
      </c>
      <c r="I46" s="151">
        <v>500</v>
      </c>
      <c r="J46" s="151"/>
      <c r="K46" s="151">
        <v>0</v>
      </c>
      <c r="L46" s="151">
        <v>0</v>
      </c>
      <c r="M46" s="151">
        <v>0</v>
      </c>
      <c r="N46" s="151">
        <v>0</v>
      </c>
      <c r="O46" s="167">
        <v>0</v>
      </c>
      <c r="P46" s="167">
        <v>0</v>
      </c>
      <c r="Q46" s="167">
        <v>0</v>
      </c>
      <c r="R46" s="167">
        <v>0</v>
      </c>
      <c r="S46" s="167">
        <v>0</v>
      </c>
      <c r="T46" s="167">
        <v>0</v>
      </c>
      <c r="U46" s="167">
        <v>0</v>
      </c>
      <c r="V46" s="167">
        <v>0</v>
      </c>
      <c r="W46" s="167">
        <v>0</v>
      </c>
      <c r="X46" s="467">
        <v>0</v>
      </c>
      <c r="Y46" s="496">
        <v>0</v>
      </c>
    </row>
    <row r="47" spans="1:25" ht="15" outlineLevel="2">
      <c r="A47" s="43" t="s">
        <v>103</v>
      </c>
      <c r="B47" s="28">
        <f t="shared" si="0"/>
        <v>42</v>
      </c>
      <c r="C47" s="3" t="s">
        <v>59</v>
      </c>
      <c r="D47" s="11" t="s">
        <v>93</v>
      </c>
      <c r="E47" s="121">
        <v>0</v>
      </c>
      <c r="F47" s="16">
        <v>0</v>
      </c>
      <c r="G47" s="151">
        <v>0</v>
      </c>
      <c r="H47" s="151">
        <v>0</v>
      </c>
      <c r="I47" s="151">
        <v>0</v>
      </c>
      <c r="J47" s="151"/>
      <c r="K47" s="151">
        <v>0</v>
      </c>
      <c r="L47" s="151">
        <v>0</v>
      </c>
      <c r="M47" s="151">
        <v>0</v>
      </c>
      <c r="N47" s="151">
        <v>0</v>
      </c>
      <c r="O47" s="167">
        <v>0</v>
      </c>
      <c r="P47" s="167">
        <v>0</v>
      </c>
      <c r="Q47" s="167">
        <v>0</v>
      </c>
      <c r="R47" s="167">
        <v>0</v>
      </c>
      <c r="S47" s="167">
        <v>0</v>
      </c>
      <c r="T47" s="167">
        <v>0</v>
      </c>
      <c r="U47" s="167">
        <v>0</v>
      </c>
      <c r="V47" s="167">
        <v>0</v>
      </c>
      <c r="W47" s="167">
        <v>0</v>
      </c>
      <c r="X47" s="467">
        <v>0</v>
      </c>
      <c r="Y47" s="496">
        <v>0</v>
      </c>
    </row>
    <row r="48" spans="1:25" ht="15" outlineLevel="2">
      <c r="A48" s="43" t="s">
        <v>104</v>
      </c>
      <c r="B48" s="28">
        <f t="shared" si="0"/>
        <v>43</v>
      </c>
      <c r="C48" s="3" t="s">
        <v>59</v>
      </c>
      <c r="D48" s="11" t="s">
        <v>96</v>
      </c>
      <c r="E48" s="121">
        <v>0</v>
      </c>
      <c r="F48" s="16">
        <v>0</v>
      </c>
      <c r="G48" s="151">
        <v>0</v>
      </c>
      <c r="H48" s="151">
        <v>0</v>
      </c>
      <c r="I48" s="151">
        <v>0</v>
      </c>
      <c r="J48" s="151"/>
      <c r="K48" s="151">
        <v>0</v>
      </c>
      <c r="L48" s="151">
        <v>0</v>
      </c>
      <c r="M48" s="151">
        <v>0</v>
      </c>
      <c r="N48" s="151">
        <v>0</v>
      </c>
      <c r="O48" s="167">
        <v>0</v>
      </c>
      <c r="P48" s="167">
        <v>0</v>
      </c>
      <c r="Q48" s="167">
        <v>0</v>
      </c>
      <c r="R48" s="167">
        <v>0</v>
      </c>
      <c r="S48" s="167">
        <v>0</v>
      </c>
      <c r="T48" s="167">
        <v>0</v>
      </c>
      <c r="U48" s="167">
        <v>0</v>
      </c>
      <c r="V48" s="167">
        <v>0</v>
      </c>
      <c r="W48" s="167">
        <v>0</v>
      </c>
      <c r="X48" s="467">
        <v>0</v>
      </c>
      <c r="Y48" s="496">
        <v>0</v>
      </c>
    </row>
    <row r="49" spans="1:25" ht="15" outlineLevel="2">
      <c r="A49" s="43" t="s">
        <v>105</v>
      </c>
      <c r="B49" s="28">
        <f t="shared" si="0"/>
        <v>44</v>
      </c>
      <c r="C49" s="3" t="s">
        <v>59</v>
      </c>
      <c r="D49" s="11" t="s">
        <v>98</v>
      </c>
      <c r="E49" s="122">
        <v>0</v>
      </c>
      <c r="F49" s="123">
        <v>0</v>
      </c>
      <c r="G49" s="152">
        <v>0</v>
      </c>
      <c r="H49" s="152">
        <v>0</v>
      </c>
      <c r="I49" s="152">
        <v>0</v>
      </c>
      <c r="J49" s="152"/>
      <c r="K49" s="152">
        <v>0</v>
      </c>
      <c r="L49" s="152">
        <v>0</v>
      </c>
      <c r="M49" s="152">
        <v>0</v>
      </c>
      <c r="N49" s="152">
        <v>0</v>
      </c>
      <c r="O49" s="167">
        <v>0</v>
      </c>
      <c r="P49" s="167">
        <v>0</v>
      </c>
      <c r="Q49" s="167">
        <v>0</v>
      </c>
      <c r="R49" s="167">
        <v>0</v>
      </c>
      <c r="S49" s="167">
        <v>0</v>
      </c>
      <c r="T49" s="167">
        <v>0</v>
      </c>
      <c r="U49" s="167">
        <v>0</v>
      </c>
      <c r="V49" s="167">
        <v>0</v>
      </c>
      <c r="W49" s="167">
        <v>0</v>
      </c>
      <c r="X49" s="467">
        <v>0</v>
      </c>
      <c r="Y49" s="496">
        <v>0</v>
      </c>
    </row>
    <row r="50" spans="1:25" ht="15" outlineLevel="1">
      <c r="B50" s="29">
        <f t="shared" si="0"/>
        <v>45</v>
      </c>
      <c r="H50" s="13"/>
      <c r="O50" s="168"/>
      <c r="P50" s="13"/>
      <c r="Q50" s="168"/>
      <c r="R50" s="168"/>
      <c r="S50" s="168"/>
      <c r="T50" s="168"/>
      <c r="U50" s="168"/>
      <c r="V50" s="168"/>
      <c r="W50" s="168"/>
      <c r="X50" s="469"/>
      <c r="Y50" s="498"/>
    </row>
    <row r="51" spans="1:25" ht="15" outlineLevel="1">
      <c r="A51" s="42" t="s">
        <v>106</v>
      </c>
      <c r="B51" s="27">
        <f t="shared" si="0"/>
        <v>46</v>
      </c>
      <c r="C51" s="4"/>
      <c r="D51" s="4" t="s">
        <v>107</v>
      </c>
      <c r="E51" s="124">
        <v>0</v>
      </c>
      <c r="F51" s="125">
        <f t="shared" ref="F51" si="68">SUBTOTAL(9,F52:F56)</f>
        <v>0</v>
      </c>
      <c r="G51" s="153">
        <v>0</v>
      </c>
      <c r="H51" s="153">
        <v>0</v>
      </c>
      <c r="I51" s="153">
        <v>0</v>
      </c>
      <c r="J51" s="295">
        <v>0</v>
      </c>
      <c r="K51" s="295">
        <f>SUBTOTAL(9,K52:K56)</f>
        <v>0</v>
      </c>
      <c r="L51" s="295">
        <v>0</v>
      </c>
      <c r="M51" s="295">
        <v>0</v>
      </c>
      <c r="N51" s="295">
        <f>SUBTOTAL(9,N52:N56)</f>
        <v>0</v>
      </c>
      <c r="O51" s="166">
        <f t="shared" ref="O51" si="69">SUBTOTAL(9,O52:O56)</f>
        <v>0</v>
      </c>
      <c r="P51" s="166">
        <f t="shared" ref="P51:Q51" si="70">SUBTOTAL(9,P52:P56)</f>
        <v>0</v>
      </c>
      <c r="Q51" s="166">
        <f t="shared" si="70"/>
        <v>0</v>
      </c>
      <c r="R51" s="166">
        <f t="shared" ref="R51:T51" si="71">SUBTOTAL(9,R52:R56)</f>
        <v>0</v>
      </c>
      <c r="S51" s="166">
        <f t="shared" si="71"/>
        <v>0</v>
      </c>
      <c r="T51" s="166">
        <f t="shared" si="71"/>
        <v>0</v>
      </c>
      <c r="U51" s="166">
        <f t="shared" ref="U51" si="72">SUBTOTAL(9,U52:U56)</f>
        <v>0</v>
      </c>
      <c r="V51" s="166">
        <f t="shared" ref="V51:W51" si="73">SUBTOTAL(9,V52:V56)</f>
        <v>0</v>
      </c>
      <c r="W51" s="166">
        <f t="shared" si="73"/>
        <v>0</v>
      </c>
      <c r="X51" s="466">
        <v>0</v>
      </c>
      <c r="Y51" s="495">
        <v>0</v>
      </c>
    </row>
    <row r="52" spans="1:25" ht="15" outlineLevel="2">
      <c r="A52" s="43" t="s">
        <v>108</v>
      </c>
      <c r="B52" s="28">
        <f t="shared" si="0"/>
        <v>47</v>
      </c>
      <c r="C52" s="3" t="s">
        <v>59</v>
      </c>
      <c r="D52" s="11" t="s">
        <v>88</v>
      </c>
      <c r="E52" s="121">
        <v>0</v>
      </c>
      <c r="F52" s="16">
        <v>0</v>
      </c>
      <c r="G52" s="151">
        <v>0</v>
      </c>
      <c r="H52" s="151">
        <v>0</v>
      </c>
      <c r="I52" s="151">
        <v>0</v>
      </c>
      <c r="J52" s="151"/>
      <c r="K52" s="151">
        <v>0</v>
      </c>
      <c r="L52" s="151">
        <v>0</v>
      </c>
      <c r="M52" s="151">
        <v>0</v>
      </c>
      <c r="N52" s="151">
        <v>0</v>
      </c>
      <c r="O52" s="167">
        <v>0</v>
      </c>
      <c r="P52" s="167">
        <v>0</v>
      </c>
      <c r="Q52" s="167">
        <v>0</v>
      </c>
      <c r="R52" s="167">
        <v>0</v>
      </c>
      <c r="S52" s="167">
        <v>0</v>
      </c>
      <c r="T52" s="167">
        <v>0</v>
      </c>
      <c r="U52" s="167">
        <v>0</v>
      </c>
      <c r="V52" s="167">
        <v>0</v>
      </c>
      <c r="W52" s="167">
        <v>0</v>
      </c>
      <c r="X52" s="467">
        <v>0</v>
      </c>
      <c r="Y52" s="496">
        <v>0</v>
      </c>
    </row>
    <row r="53" spans="1:25" ht="15" outlineLevel="2">
      <c r="A53" s="43" t="s">
        <v>109</v>
      </c>
      <c r="B53" s="28">
        <f t="shared" si="0"/>
        <v>48</v>
      </c>
      <c r="C53" s="3" t="s">
        <v>59</v>
      </c>
      <c r="D53" s="11" t="s">
        <v>90</v>
      </c>
      <c r="E53" s="121">
        <v>0</v>
      </c>
      <c r="F53" s="16">
        <v>0</v>
      </c>
      <c r="G53" s="151">
        <v>0</v>
      </c>
      <c r="H53" s="151">
        <v>0</v>
      </c>
      <c r="I53" s="151">
        <v>0</v>
      </c>
      <c r="J53" s="151"/>
      <c r="K53" s="151">
        <v>0</v>
      </c>
      <c r="L53" s="151">
        <v>0</v>
      </c>
      <c r="M53" s="151">
        <v>0</v>
      </c>
      <c r="N53" s="151">
        <v>0</v>
      </c>
      <c r="O53" s="167">
        <v>0</v>
      </c>
      <c r="P53" s="167">
        <v>0</v>
      </c>
      <c r="Q53" s="167">
        <v>0</v>
      </c>
      <c r="R53" s="167">
        <v>0</v>
      </c>
      <c r="S53" s="167">
        <v>0</v>
      </c>
      <c r="T53" s="167">
        <v>0</v>
      </c>
      <c r="U53" s="167">
        <v>0</v>
      </c>
      <c r="V53" s="167">
        <v>0</v>
      </c>
      <c r="W53" s="167">
        <v>0</v>
      </c>
      <c r="X53" s="467">
        <v>0</v>
      </c>
      <c r="Y53" s="496">
        <v>0</v>
      </c>
    </row>
    <row r="54" spans="1:25" ht="15" outlineLevel="2">
      <c r="A54" s="43" t="s">
        <v>110</v>
      </c>
      <c r="B54" s="28">
        <f t="shared" si="0"/>
        <v>49</v>
      </c>
      <c r="C54" s="3" t="s">
        <v>59</v>
      </c>
      <c r="D54" s="11" t="s">
        <v>93</v>
      </c>
      <c r="E54" s="121">
        <v>0</v>
      </c>
      <c r="F54" s="16">
        <v>0</v>
      </c>
      <c r="G54" s="151">
        <v>0</v>
      </c>
      <c r="H54" s="151">
        <v>0</v>
      </c>
      <c r="I54" s="151">
        <v>0</v>
      </c>
      <c r="J54" s="151"/>
      <c r="K54" s="151">
        <v>0</v>
      </c>
      <c r="L54" s="151">
        <v>0</v>
      </c>
      <c r="M54" s="151">
        <v>0</v>
      </c>
      <c r="N54" s="151">
        <v>0</v>
      </c>
      <c r="O54" s="167">
        <v>0</v>
      </c>
      <c r="P54" s="167">
        <v>0</v>
      </c>
      <c r="Q54" s="167">
        <v>0</v>
      </c>
      <c r="R54" s="167">
        <v>0</v>
      </c>
      <c r="S54" s="167">
        <v>0</v>
      </c>
      <c r="T54" s="167">
        <v>0</v>
      </c>
      <c r="U54" s="167">
        <v>0</v>
      </c>
      <c r="V54" s="167">
        <v>0</v>
      </c>
      <c r="W54" s="167">
        <v>0</v>
      </c>
      <c r="X54" s="467">
        <v>0</v>
      </c>
      <c r="Y54" s="496">
        <v>0</v>
      </c>
    </row>
    <row r="55" spans="1:25" ht="15" outlineLevel="2">
      <c r="A55" s="43" t="s">
        <v>111</v>
      </c>
      <c r="B55" s="28">
        <f t="shared" si="0"/>
        <v>50</v>
      </c>
      <c r="C55" s="3" t="s">
        <v>59</v>
      </c>
      <c r="D55" s="11" t="s">
        <v>96</v>
      </c>
      <c r="E55" s="121">
        <v>0</v>
      </c>
      <c r="F55" s="16">
        <v>0</v>
      </c>
      <c r="G55" s="151">
        <v>0</v>
      </c>
      <c r="H55" s="151">
        <v>0</v>
      </c>
      <c r="I55" s="151">
        <v>0</v>
      </c>
      <c r="J55" s="151"/>
      <c r="K55" s="151">
        <v>0</v>
      </c>
      <c r="L55" s="151">
        <v>0</v>
      </c>
      <c r="M55" s="151">
        <v>0</v>
      </c>
      <c r="N55" s="151">
        <v>0</v>
      </c>
      <c r="O55" s="167">
        <v>0</v>
      </c>
      <c r="P55" s="167">
        <v>0</v>
      </c>
      <c r="Q55" s="167">
        <v>0</v>
      </c>
      <c r="R55" s="167">
        <v>0</v>
      </c>
      <c r="S55" s="167">
        <v>0</v>
      </c>
      <c r="T55" s="167">
        <v>0</v>
      </c>
      <c r="U55" s="167">
        <v>0</v>
      </c>
      <c r="V55" s="167">
        <v>0</v>
      </c>
      <c r="W55" s="167">
        <v>0</v>
      </c>
      <c r="X55" s="467">
        <v>0</v>
      </c>
      <c r="Y55" s="496">
        <v>0</v>
      </c>
    </row>
    <row r="56" spans="1:25" ht="15" outlineLevel="2">
      <c r="A56" s="43" t="s">
        <v>112</v>
      </c>
      <c r="B56" s="28">
        <f t="shared" si="0"/>
        <v>51</v>
      </c>
      <c r="C56" s="3" t="s">
        <v>59</v>
      </c>
      <c r="D56" s="11" t="s">
        <v>98</v>
      </c>
      <c r="E56" s="122">
        <v>0</v>
      </c>
      <c r="F56" s="123">
        <v>0</v>
      </c>
      <c r="G56" s="152">
        <v>0</v>
      </c>
      <c r="H56" s="152">
        <v>0</v>
      </c>
      <c r="I56" s="152">
        <v>0</v>
      </c>
      <c r="J56" s="152"/>
      <c r="K56" s="152">
        <v>0</v>
      </c>
      <c r="L56" s="152">
        <v>0</v>
      </c>
      <c r="M56" s="152">
        <v>0</v>
      </c>
      <c r="N56" s="152">
        <v>0</v>
      </c>
      <c r="O56" s="167">
        <v>0</v>
      </c>
      <c r="P56" s="167">
        <v>0</v>
      </c>
      <c r="Q56" s="167">
        <v>0</v>
      </c>
      <c r="R56" s="167">
        <v>0</v>
      </c>
      <c r="S56" s="167">
        <v>0</v>
      </c>
      <c r="T56" s="167">
        <v>0</v>
      </c>
      <c r="U56" s="167">
        <v>0</v>
      </c>
      <c r="V56" s="167">
        <v>0</v>
      </c>
      <c r="W56" s="167">
        <v>0</v>
      </c>
      <c r="X56" s="467">
        <v>0</v>
      </c>
      <c r="Y56" s="496">
        <v>0</v>
      </c>
    </row>
    <row r="57" spans="1:25" ht="15" outlineLevel="1">
      <c r="B57" s="29">
        <f t="shared" si="0"/>
        <v>52</v>
      </c>
      <c r="H57" s="13"/>
      <c r="O57" s="168"/>
      <c r="P57" s="168"/>
      <c r="Q57" s="168"/>
      <c r="R57" s="168"/>
      <c r="S57" s="168"/>
      <c r="T57" s="168"/>
      <c r="U57" s="168"/>
      <c r="V57" s="168"/>
      <c r="W57" s="168"/>
      <c r="X57" s="469"/>
      <c r="Y57" s="498"/>
    </row>
    <row r="58" spans="1:25" ht="15" outlineLevel="1">
      <c r="B58" s="29">
        <f>ROW(B53)</f>
        <v>53</v>
      </c>
      <c r="H58" s="13"/>
      <c r="O58" s="168"/>
      <c r="P58" s="168"/>
      <c r="Q58" s="168"/>
      <c r="R58" s="168"/>
      <c r="S58" s="168"/>
      <c r="T58" s="168"/>
      <c r="U58" s="168"/>
      <c r="V58" s="168"/>
      <c r="W58" s="168"/>
      <c r="X58" s="469"/>
      <c r="Y58" s="498"/>
    </row>
    <row r="59" spans="1:25" ht="15">
      <c r="B59" s="29">
        <f>ROW(B54)</f>
        <v>54</v>
      </c>
      <c r="H59" s="13"/>
      <c r="O59" s="168"/>
      <c r="P59" s="168"/>
      <c r="Q59" s="168"/>
      <c r="R59" s="168"/>
      <c r="S59" s="168"/>
      <c r="T59" s="168"/>
      <c r="U59" s="168"/>
      <c r="V59" s="168"/>
      <c r="W59" s="168"/>
      <c r="X59" s="469"/>
      <c r="Y59" s="498"/>
    </row>
    <row r="60" spans="1:25" ht="15">
      <c r="A60" s="35" t="s">
        <v>113</v>
      </c>
      <c r="B60" s="26">
        <f>ROW(B54)</f>
        <v>54</v>
      </c>
      <c r="C60" s="2"/>
      <c r="D60" s="2" t="s">
        <v>114</v>
      </c>
      <c r="E60" s="126">
        <f>E61+E66</f>
        <v>795000</v>
      </c>
      <c r="F60" s="127">
        <f t="shared" ref="F60" si="74">F61+F66</f>
        <v>820360.34</v>
      </c>
      <c r="G60" s="154">
        <f t="shared" ref="G60:K60" si="75">G61+G66</f>
        <v>345497.78</v>
      </c>
      <c r="H60" s="154">
        <f t="shared" si="75"/>
        <v>285497.78000000003</v>
      </c>
      <c r="I60" s="154">
        <f t="shared" si="75"/>
        <v>689841.07</v>
      </c>
      <c r="J60" s="154">
        <v>689481.07</v>
      </c>
      <c r="K60" s="154">
        <f t="shared" si="75"/>
        <v>940000</v>
      </c>
      <c r="L60" s="154">
        <v>807785.14</v>
      </c>
      <c r="M60" s="154">
        <v>940000</v>
      </c>
      <c r="N60" s="154">
        <f>N61+N66+N70</f>
        <v>787645.92</v>
      </c>
      <c r="O60" s="154">
        <f>O61+O66+O70</f>
        <v>582645.92000000004</v>
      </c>
      <c r="P60" s="380">
        <f t="shared" ref="P60:Q60" si="76">P61+P66</f>
        <v>582645.92000000004</v>
      </c>
      <c r="Q60" s="380">
        <f t="shared" si="76"/>
        <v>582645.92000000004</v>
      </c>
      <c r="R60" s="380">
        <f t="shared" ref="R60:T60" si="77">R61+R66</f>
        <v>582645.92000000004</v>
      </c>
      <c r="S60" s="380">
        <f t="shared" si="77"/>
        <v>582645.92000000004</v>
      </c>
      <c r="T60" s="380">
        <f t="shared" si="77"/>
        <v>582645.92000000004</v>
      </c>
      <c r="U60" s="380">
        <f t="shared" ref="U60" si="78">U61+U66</f>
        <v>582645.92000000004</v>
      </c>
      <c r="V60" s="380">
        <f t="shared" ref="V60:W60" si="79">V61+V66</f>
        <v>582645.92000000004</v>
      </c>
      <c r="W60" s="380">
        <f t="shared" si="79"/>
        <v>582645.92000000004</v>
      </c>
      <c r="X60" s="470">
        <v>582645.92000000004</v>
      </c>
      <c r="Y60" s="499">
        <v>582645.92000000004</v>
      </c>
    </row>
    <row r="61" spans="1:25" ht="15" outlineLevel="1">
      <c r="A61" s="42" t="s">
        <v>115</v>
      </c>
      <c r="B61" s="27">
        <f>ROW(B55)</f>
        <v>55</v>
      </c>
      <c r="C61" s="4"/>
      <c r="D61" s="4" t="s">
        <v>116</v>
      </c>
      <c r="E61" s="120">
        <f>SUBTOTAL(9,E62:E64)</f>
        <v>195000</v>
      </c>
      <c r="F61" s="15">
        <f t="shared" ref="F61" si="80">SUBTOTAL(9,F62:F64)</f>
        <v>195000</v>
      </c>
      <c r="G61" s="150">
        <f t="shared" ref="G61" si="81">SUBTOTAL(9,G62:G64)</f>
        <v>60000</v>
      </c>
      <c r="H61" s="150">
        <v>0</v>
      </c>
      <c r="I61" s="150">
        <v>0</v>
      </c>
      <c r="J61" s="150">
        <v>0</v>
      </c>
      <c r="K61" s="150">
        <v>140000</v>
      </c>
      <c r="L61" s="150">
        <v>0</v>
      </c>
      <c r="M61" s="150">
        <v>140000</v>
      </c>
      <c r="N61" s="150">
        <f>SUBTOTAL(9,N62:N64)</f>
        <v>205000</v>
      </c>
      <c r="O61" s="150">
        <f>SUBTOTAL(9,O62:O64)</f>
        <v>0</v>
      </c>
      <c r="P61" s="166">
        <v>0</v>
      </c>
      <c r="Q61" s="166">
        <v>0</v>
      </c>
      <c r="R61" s="166">
        <v>0</v>
      </c>
      <c r="S61" s="166">
        <v>0</v>
      </c>
      <c r="T61" s="166">
        <v>0</v>
      </c>
      <c r="U61" s="166">
        <v>0</v>
      </c>
      <c r="V61" s="166">
        <v>0</v>
      </c>
      <c r="W61" s="166">
        <v>0</v>
      </c>
      <c r="X61" s="466">
        <v>0</v>
      </c>
      <c r="Y61" s="495">
        <v>0</v>
      </c>
    </row>
    <row r="62" spans="1:25" ht="15" outlineLevel="2">
      <c r="A62" s="43" t="s">
        <v>117</v>
      </c>
      <c r="B62" s="28">
        <f>ROW(B56)</f>
        <v>56</v>
      </c>
      <c r="C62" s="3" t="s">
        <v>115</v>
      </c>
      <c r="D62" s="3" t="s">
        <v>118</v>
      </c>
      <c r="E62" s="121">
        <v>0</v>
      </c>
      <c r="F62" s="16">
        <v>0</v>
      </c>
      <c r="G62" s="151">
        <v>0</v>
      </c>
      <c r="H62" s="151">
        <v>0</v>
      </c>
      <c r="I62" s="151">
        <v>0</v>
      </c>
      <c r="J62" s="151">
        <v>0</v>
      </c>
      <c r="K62" s="151">
        <v>0</v>
      </c>
      <c r="L62" s="151">
        <v>0</v>
      </c>
      <c r="M62" s="151">
        <v>0</v>
      </c>
      <c r="N62" s="151">
        <v>60000</v>
      </c>
      <c r="O62" s="167">
        <v>0</v>
      </c>
      <c r="P62" s="167">
        <v>0</v>
      </c>
      <c r="Q62" s="167">
        <v>0</v>
      </c>
      <c r="R62" s="167">
        <v>0</v>
      </c>
      <c r="S62" s="167">
        <v>0</v>
      </c>
      <c r="T62" s="167">
        <v>0</v>
      </c>
      <c r="U62" s="167">
        <v>0</v>
      </c>
      <c r="V62" s="167">
        <v>0</v>
      </c>
      <c r="W62" s="167">
        <v>0</v>
      </c>
      <c r="X62" s="467">
        <v>0</v>
      </c>
      <c r="Y62" s="496">
        <v>0</v>
      </c>
    </row>
    <row r="63" spans="1:25" ht="15" outlineLevel="2">
      <c r="A63" s="43" t="s">
        <v>119</v>
      </c>
      <c r="B63" s="28">
        <f>ROW(B57)</f>
        <v>57</v>
      </c>
      <c r="C63" s="3" t="s">
        <v>120</v>
      </c>
      <c r="D63" s="3" t="s">
        <v>121</v>
      </c>
      <c r="E63" s="121">
        <v>195000</v>
      </c>
      <c r="F63" s="16">
        <v>195000</v>
      </c>
      <c r="G63" s="151">
        <v>0</v>
      </c>
      <c r="H63" s="151">
        <v>0</v>
      </c>
      <c r="I63" s="151">
        <v>0</v>
      </c>
      <c r="J63" s="151">
        <v>0</v>
      </c>
      <c r="K63" s="151">
        <v>0</v>
      </c>
      <c r="L63" s="151">
        <v>0</v>
      </c>
      <c r="M63" s="151">
        <v>0</v>
      </c>
      <c r="N63" s="151">
        <v>130000</v>
      </c>
      <c r="O63" s="167">
        <v>0</v>
      </c>
      <c r="P63" s="167">
        <v>0</v>
      </c>
      <c r="Q63" s="167">
        <v>0</v>
      </c>
      <c r="R63" s="167">
        <v>0</v>
      </c>
      <c r="S63" s="167">
        <v>0</v>
      </c>
      <c r="T63" s="167">
        <v>0</v>
      </c>
      <c r="U63" s="167">
        <v>0</v>
      </c>
      <c r="V63" s="167">
        <v>0</v>
      </c>
      <c r="W63" s="167">
        <v>0</v>
      </c>
      <c r="X63" s="467">
        <v>0</v>
      </c>
      <c r="Y63" s="496">
        <v>0</v>
      </c>
    </row>
    <row r="64" spans="1:25" ht="15" outlineLevel="2">
      <c r="A64" s="43" t="s">
        <v>122</v>
      </c>
      <c r="B64" s="28">
        <f>ROW(B58)</f>
        <v>58</v>
      </c>
      <c r="C64" s="3" t="s">
        <v>59</v>
      </c>
      <c r="D64" s="3" t="s">
        <v>123</v>
      </c>
      <c r="E64" s="122">
        <v>0</v>
      </c>
      <c r="F64" s="123">
        <v>0</v>
      </c>
      <c r="G64" s="152">
        <v>60000</v>
      </c>
      <c r="H64" s="152">
        <v>0</v>
      </c>
      <c r="I64" s="152">
        <v>0</v>
      </c>
      <c r="J64" s="152">
        <v>0</v>
      </c>
      <c r="K64" s="152">
        <v>140000</v>
      </c>
      <c r="L64" s="152">
        <v>0</v>
      </c>
      <c r="M64" s="152">
        <v>140000</v>
      </c>
      <c r="N64" s="152">
        <v>15000</v>
      </c>
      <c r="O64" s="167">
        <v>0</v>
      </c>
      <c r="P64" s="167">
        <v>0</v>
      </c>
      <c r="Q64" s="167">
        <v>0</v>
      </c>
      <c r="R64" s="167">
        <v>0</v>
      </c>
      <c r="S64" s="167">
        <v>0</v>
      </c>
      <c r="T64" s="167">
        <v>0</v>
      </c>
      <c r="U64" s="167">
        <v>0</v>
      </c>
      <c r="V64" s="167">
        <v>0</v>
      </c>
      <c r="W64" s="167">
        <v>0</v>
      </c>
      <c r="X64" s="467">
        <v>0</v>
      </c>
      <c r="Y64" s="496">
        <v>0</v>
      </c>
    </row>
    <row r="65" spans="1:27" ht="15" outlineLevel="1">
      <c r="B65" s="29">
        <f t="shared" si="0"/>
        <v>60</v>
      </c>
      <c r="H65" s="13"/>
      <c r="O65" s="168"/>
      <c r="P65" s="13"/>
      <c r="Q65" s="168"/>
      <c r="R65" s="168"/>
      <c r="S65" s="168"/>
      <c r="T65" s="168"/>
      <c r="U65" s="168"/>
      <c r="V65" s="168"/>
      <c r="W65" s="168"/>
      <c r="X65" s="469"/>
      <c r="Y65" s="498"/>
    </row>
    <row r="66" spans="1:27" ht="15" outlineLevel="1">
      <c r="A66" s="42" t="s">
        <v>124</v>
      </c>
      <c r="B66" s="27">
        <f t="shared" ref="B66:B127" si="82">ROW(B61)</f>
        <v>61</v>
      </c>
      <c r="C66" s="4"/>
      <c r="D66" s="4" t="s">
        <v>125</v>
      </c>
      <c r="E66" s="124">
        <f>SUBTOTAL(9,E67:E69)</f>
        <v>600000</v>
      </c>
      <c r="F66" s="125">
        <f t="shared" ref="F66" si="83">SUBTOTAL(9,F67:F69)</f>
        <v>625360.34</v>
      </c>
      <c r="G66" s="153">
        <f t="shared" ref="G66:O66" si="84">SUBTOTAL(9,G67:G69)</f>
        <v>285497.78000000003</v>
      </c>
      <c r="H66" s="153">
        <f t="shared" si="84"/>
        <v>285497.78000000003</v>
      </c>
      <c r="I66" s="153">
        <f t="shared" si="84"/>
        <v>689841.07</v>
      </c>
      <c r="J66" s="295">
        <v>689481.07</v>
      </c>
      <c r="K66" s="295">
        <f t="shared" si="84"/>
        <v>800000</v>
      </c>
      <c r="L66" s="295">
        <v>807785.14</v>
      </c>
      <c r="M66" s="295">
        <v>800000</v>
      </c>
      <c r="N66" s="295">
        <f>SUBTOTAL(9,N67:N69)</f>
        <v>582645.92000000004</v>
      </c>
      <c r="O66" s="166">
        <f t="shared" si="84"/>
        <v>582645.92000000004</v>
      </c>
      <c r="P66" s="166">
        <f t="shared" ref="P66" si="85">SUBTOTAL(9,P67:P69)</f>
        <v>582645.92000000004</v>
      </c>
      <c r="Q66" s="166">
        <f t="shared" ref="Q66:R66" si="86">SUBTOTAL(9,Q67:Q69)</f>
        <v>582645.92000000004</v>
      </c>
      <c r="R66" s="166">
        <f t="shared" si="86"/>
        <v>582645.92000000004</v>
      </c>
      <c r="S66" s="166">
        <f t="shared" ref="S66:T66" si="87">SUBTOTAL(9,S67:S69)</f>
        <v>582645.92000000004</v>
      </c>
      <c r="T66" s="166">
        <f t="shared" si="87"/>
        <v>582645.92000000004</v>
      </c>
      <c r="U66" s="166">
        <f t="shared" ref="U66" si="88">SUBTOTAL(9,U67:U69)</f>
        <v>582645.92000000004</v>
      </c>
      <c r="V66" s="166">
        <f t="shared" ref="V66:W66" si="89">SUBTOTAL(9,V67:V69)</f>
        <v>582645.92000000004</v>
      </c>
      <c r="W66" s="166">
        <f t="shared" si="89"/>
        <v>582645.92000000004</v>
      </c>
      <c r="X66" s="466">
        <v>582645.92000000004</v>
      </c>
      <c r="Y66" s="495">
        <v>582645.92000000004</v>
      </c>
    </row>
    <row r="67" spans="1:27" ht="15" outlineLevel="2">
      <c r="A67" s="43" t="s">
        <v>126</v>
      </c>
      <c r="B67" s="28">
        <f t="shared" si="82"/>
        <v>62</v>
      </c>
      <c r="C67" s="3" t="s">
        <v>124</v>
      </c>
      <c r="D67" s="3" t="s">
        <v>127</v>
      </c>
      <c r="E67" s="121">
        <v>600000</v>
      </c>
      <c r="F67" s="16">
        <v>625360.34</v>
      </c>
      <c r="G67" s="151">
        <v>285497.78000000003</v>
      </c>
      <c r="H67" s="151">
        <v>285497.78000000003</v>
      </c>
      <c r="I67" s="151">
        <v>689841.07</v>
      </c>
      <c r="J67" s="151">
        <v>689481.07</v>
      </c>
      <c r="K67" s="151">
        <v>800000</v>
      </c>
      <c r="L67" s="151">
        <v>807785.14</v>
      </c>
      <c r="M67" s="151">
        <v>800000</v>
      </c>
      <c r="N67" s="467">
        <v>582645.92000000004</v>
      </c>
      <c r="O67" s="167">
        <v>582645.92000000004</v>
      </c>
      <c r="P67" s="167">
        <v>582645.92000000004</v>
      </c>
      <c r="Q67" s="167">
        <v>582645.92000000004</v>
      </c>
      <c r="R67" s="167">
        <v>582645.92000000004</v>
      </c>
      <c r="S67" s="167">
        <v>582645.92000000004</v>
      </c>
      <c r="T67" s="167">
        <v>582645.92000000004</v>
      </c>
      <c r="U67" s="167">
        <v>582645.92000000004</v>
      </c>
      <c r="V67" s="167">
        <v>582645.92000000004</v>
      </c>
      <c r="W67" s="167">
        <v>582645.92000000004</v>
      </c>
      <c r="X67" s="467">
        <v>582645.92000000004</v>
      </c>
      <c r="Y67" s="496">
        <v>582645.92000000004</v>
      </c>
    </row>
    <row r="68" spans="1:27" ht="15" outlineLevel="2">
      <c r="A68" s="43" t="s">
        <v>128</v>
      </c>
      <c r="B68" s="28">
        <f t="shared" si="82"/>
        <v>63</v>
      </c>
      <c r="C68" s="3" t="s">
        <v>59</v>
      </c>
      <c r="D68" s="3" t="s">
        <v>129</v>
      </c>
      <c r="E68" s="122">
        <v>0</v>
      </c>
      <c r="F68" s="123"/>
      <c r="G68" s="152">
        <v>0</v>
      </c>
      <c r="H68" s="152">
        <v>0</v>
      </c>
      <c r="I68" s="152">
        <v>0</v>
      </c>
      <c r="J68" s="152">
        <v>0</v>
      </c>
      <c r="K68" s="152">
        <v>0</v>
      </c>
      <c r="L68" s="152">
        <v>0</v>
      </c>
      <c r="M68" s="152">
        <v>0</v>
      </c>
      <c r="N68" s="152">
        <v>0</v>
      </c>
      <c r="O68" s="167">
        <v>0</v>
      </c>
      <c r="P68" s="167">
        <v>0</v>
      </c>
      <c r="Q68" s="167">
        <v>0</v>
      </c>
      <c r="R68" s="167">
        <v>0</v>
      </c>
      <c r="S68" s="167">
        <v>0</v>
      </c>
      <c r="T68" s="167">
        <v>0</v>
      </c>
      <c r="U68" s="167">
        <v>0</v>
      </c>
      <c r="V68" s="167">
        <v>0</v>
      </c>
      <c r="W68" s="167">
        <v>0</v>
      </c>
      <c r="X68" s="467">
        <v>0</v>
      </c>
      <c r="Y68" s="496">
        <v>0</v>
      </c>
    </row>
    <row r="69" spans="1:27" ht="15" outlineLevel="1">
      <c r="B69" s="29">
        <f t="shared" si="82"/>
        <v>64</v>
      </c>
      <c r="H69" s="13"/>
      <c r="O69" s="168"/>
      <c r="P69" s="168"/>
      <c r="Q69" s="168"/>
      <c r="R69" s="168"/>
      <c r="S69" s="168"/>
      <c r="T69" s="168"/>
      <c r="U69" s="168"/>
      <c r="V69" s="168"/>
      <c r="W69" s="168"/>
      <c r="X69" s="469"/>
      <c r="Y69" s="498"/>
    </row>
    <row r="70" spans="1:27" ht="15" outlineLevel="1">
      <c r="A70" s="42" t="s">
        <v>130</v>
      </c>
      <c r="B70" s="27">
        <f t="shared" si="82"/>
        <v>65</v>
      </c>
      <c r="C70" s="4"/>
      <c r="D70" s="4" t="s">
        <v>131</v>
      </c>
      <c r="E70" s="124">
        <f>SUBTOTAL(9,E71:E72)</f>
        <v>0</v>
      </c>
      <c r="F70" s="125">
        <f t="shared" ref="F70" si="90">SUBTOTAL(9,F71:F72)</f>
        <v>0</v>
      </c>
      <c r="G70" s="153">
        <f t="shared" ref="G70:H70" si="91">SUBTOTAL(9,G71:G72)</f>
        <v>0</v>
      </c>
      <c r="H70" s="153">
        <f t="shared" si="91"/>
        <v>0</v>
      </c>
      <c r="I70" s="153">
        <f t="shared" ref="I70" si="92">SUBTOTAL(9,I71:I72)</f>
        <v>0</v>
      </c>
      <c r="J70" s="295">
        <v>0</v>
      </c>
      <c r="K70" s="295">
        <v>0</v>
      </c>
      <c r="L70" s="295">
        <v>0</v>
      </c>
      <c r="M70" s="295">
        <v>0</v>
      </c>
      <c r="N70" s="295">
        <f t="shared" ref="N70:O70" si="93">SUBTOTAL(9,N71:N72)</f>
        <v>0</v>
      </c>
      <c r="O70" s="166">
        <f t="shared" si="93"/>
        <v>0</v>
      </c>
      <c r="P70" s="166">
        <f t="shared" ref="P70:Q70" si="94">SUBTOTAL(9,P71:P72)</f>
        <v>0</v>
      </c>
      <c r="Q70" s="166">
        <f t="shared" si="94"/>
        <v>0</v>
      </c>
      <c r="R70" s="166">
        <f t="shared" ref="R70:T70" si="95">SUBTOTAL(9,R71:R72)</f>
        <v>0</v>
      </c>
      <c r="S70" s="166">
        <f t="shared" si="95"/>
        <v>0</v>
      </c>
      <c r="T70" s="166">
        <f t="shared" si="95"/>
        <v>0</v>
      </c>
      <c r="U70" s="166">
        <f t="shared" ref="U70" si="96">SUBTOTAL(9,U71:U72)</f>
        <v>0</v>
      </c>
      <c r="V70" s="166">
        <f t="shared" ref="V70:W70" si="97">SUBTOTAL(9,V71:V72)</f>
        <v>0</v>
      </c>
      <c r="W70" s="166">
        <f t="shared" si="97"/>
        <v>0</v>
      </c>
      <c r="X70" s="466">
        <v>0</v>
      </c>
      <c r="Y70" s="495">
        <v>0</v>
      </c>
    </row>
    <row r="71" spans="1:27" ht="15" outlineLevel="1">
      <c r="A71" s="43" t="s">
        <v>132</v>
      </c>
      <c r="B71" s="28">
        <f t="shared" si="82"/>
        <v>66</v>
      </c>
      <c r="C71" s="3" t="s">
        <v>59</v>
      </c>
      <c r="D71" s="3" t="s">
        <v>133</v>
      </c>
      <c r="E71" s="121">
        <v>0</v>
      </c>
      <c r="F71" s="16">
        <v>0</v>
      </c>
      <c r="G71" s="151">
        <v>0</v>
      </c>
      <c r="H71" s="151">
        <v>0</v>
      </c>
      <c r="I71" s="151">
        <v>0</v>
      </c>
      <c r="J71" s="151">
        <v>0</v>
      </c>
      <c r="K71" s="151">
        <v>0</v>
      </c>
      <c r="L71" s="151">
        <v>0</v>
      </c>
      <c r="M71" s="151">
        <v>0</v>
      </c>
      <c r="N71" s="151">
        <v>0</v>
      </c>
      <c r="O71" s="167">
        <v>0</v>
      </c>
      <c r="P71" s="167">
        <v>0</v>
      </c>
      <c r="Q71" s="167">
        <v>0</v>
      </c>
      <c r="R71" s="167">
        <v>0</v>
      </c>
      <c r="S71" s="167">
        <v>0</v>
      </c>
      <c r="T71" s="167">
        <v>0</v>
      </c>
      <c r="U71" s="167">
        <v>0</v>
      </c>
      <c r="V71" s="167">
        <v>0</v>
      </c>
      <c r="W71" s="167">
        <v>0</v>
      </c>
      <c r="X71" s="467">
        <v>0</v>
      </c>
      <c r="Y71" s="496">
        <v>0</v>
      </c>
    </row>
    <row r="72" spans="1:27" ht="15" outlineLevel="1">
      <c r="A72" s="43" t="s">
        <v>134</v>
      </c>
      <c r="B72" s="28">
        <f t="shared" si="82"/>
        <v>67</v>
      </c>
      <c r="C72" s="3" t="s">
        <v>61</v>
      </c>
      <c r="D72" s="3" t="s">
        <v>135</v>
      </c>
      <c r="E72" s="122">
        <v>0</v>
      </c>
      <c r="F72" s="123">
        <v>0</v>
      </c>
      <c r="G72" s="152">
        <v>0</v>
      </c>
      <c r="H72" s="152">
        <v>0</v>
      </c>
      <c r="I72" s="152">
        <v>0</v>
      </c>
      <c r="J72" s="152">
        <v>0</v>
      </c>
      <c r="K72" s="152">
        <v>0</v>
      </c>
      <c r="L72" s="152">
        <v>0</v>
      </c>
      <c r="M72" s="152">
        <v>0</v>
      </c>
      <c r="N72" s="152">
        <v>0</v>
      </c>
      <c r="O72" s="167">
        <v>0</v>
      </c>
      <c r="P72" s="167">
        <v>0</v>
      </c>
      <c r="Q72" s="167">
        <v>0</v>
      </c>
      <c r="R72" s="167">
        <v>0</v>
      </c>
      <c r="S72" s="167">
        <v>0</v>
      </c>
      <c r="T72" s="167">
        <v>0</v>
      </c>
      <c r="U72" s="167">
        <v>0</v>
      </c>
      <c r="V72" s="167">
        <v>0</v>
      </c>
      <c r="W72" s="167">
        <v>0</v>
      </c>
      <c r="X72" s="467">
        <v>0</v>
      </c>
      <c r="Y72" s="496">
        <v>0</v>
      </c>
    </row>
    <row r="73" spans="1:27" ht="15">
      <c r="B73" s="29">
        <f t="shared" si="82"/>
        <v>68</v>
      </c>
      <c r="H73" s="13"/>
      <c r="O73" s="168"/>
      <c r="P73" s="168"/>
      <c r="Q73" s="168"/>
      <c r="R73" s="168"/>
      <c r="S73" s="168"/>
      <c r="T73" s="168"/>
      <c r="U73" s="168"/>
      <c r="V73" s="168"/>
      <c r="W73" s="168"/>
      <c r="X73" s="469"/>
      <c r="Y73" s="498"/>
    </row>
    <row r="74" spans="1:27" ht="15">
      <c r="B74" s="29">
        <f>ROW(B70)</f>
        <v>70</v>
      </c>
      <c r="D74" s="35" t="s">
        <v>136</v>
      </c>
      <c r="E74" s="128">
        <f t="shared" ref="E74:H74" si="98">E6+E36+E60</f>
        <v>1480000</v>
      </c>
      <c r="F74" s="129">
        <f t="shared" si="98"/>
        <v>1500919.53</v>
      </c>
      <c r="G74" s="155">
        <f t="shared" si="98"/>
        <v>1568977.28</v>
      </c>
      <c r="H74" s="155">
        <f t="shared" si="98"/>
        <v>1433893.8299999998</v>
      </c>
      <c r="I74" s="155">
        <f t="shared" ref="I74:O74" si="99">I6+I36+I60</f>
        <v>1582227.3199999998</v>
      </c>
      <c r="J74" s="155">
        <v>1824464.79</v>
      </c>
      <c r="K74" s="155">
        <f t="shared" si="99"/>
        <v>2129600</v>
      </c>
      <c r="L74" s="155">
        <v>1431391.26</v>
      </c>
      <c r="M74" s="155">
        <v>2129600</v>
      </c>
      <c r="N74" s="155">
        <f>N6+N36+N60</f>
        <v>875991.44000000006</v>
      </c>
      <c r="O74" s="155">
        <f t="shared" si="99"/>
        <v>586782.02</v>
      </c>
      <c r="P74" s="272">
        <f t="shared" ref="P74:Q74" si="100">P6+P36+P60</f>
        <v>591128.84000000008</v>
      </c>
      <c r="Q74" s="272">
        <f t="shared" si="100"/>
        <v>591710.4800000001</v>
      </c>
      <c r="R74" s="272">
        <f t="shared" ref="R74:T74" si="101">R6+R36+R60</f>
        <v>609273.37</v>
      </c>
      <c r="S74" s="272">
        <f t="shared" si="101"/>
        <v>624398.96000000008</v>
      </c>
      <c r="T74" s="272">
        <f t="shared" si="101"/>
        <v>628716.93000000005</v>
      </c>
      <c r="U74" s="272">
        <f t="shared" ref="U74" si="102">U6+U36+U60</f>
        <v>629481.93000000005</v>
      </c>
      <c r="V74" s="272">
        <f t="shared" ref="V74:W74" si="103">V6+V36+V60</f>
        <v>631491.93000000005</v>
      </c>
      <c r="W74" s="272">
        <f t="shared" si="103"/>
        <v>631229.78</v>
      </c>
      <c r="X74" s="471">
        <v>641752.57999999996</v>
      </c>
      <c r="Y74" s="500">
        <v>666820.66</v>
      </c>
    </row>
    <row r="75" spans="1:27" ht="15">
      <c r="B75" s="29">
        <f>ROW(B71)</f>
        <v>71</v>
      </c>
      <c r="H75" s="13"/>
      <c r="O75" s="13"/>
      <c r="P75" s="13"/>
      <c r="Q75" s="168"/>
      <c r="R75" s="168"/>
      <c r="S75" s="168"/>
      <c r="T75" s="168"/>
      <c r="U75" s="168"/>
      <c r="V75" s="168"/>
      <c r="W75" s="168"/>
      <c r="X75" s="469"/>
      <c r="Y75" s="498"/>
    </row>
    <row r="76" spans="1:27" ht="15.75">
      <c r="A76" s="23" t="s">
        <v>137</v>
      </c>
      <c r="B76" s="25">
        <f>ROW(B72)</f>
        <v>72</v>
      </c>
      <c r="C76" s="7"/>
      <c r="H76" s="13"/>
      <c r="O76" s="13"/>
      <c r="P76" s="13"/>
      <c r="Q76" s="168"/>
      <c r="R76" s="168"/>
      <c r="S76" s="168"/>
      <c r="T76" s="168"/>
      <c r="U76" s="168"/>
      <c r="V76" s="168"/>
      <c r="W76" s="168"/>
      <c r="X76" s="469"/>
      <c r="Y76" s="498"/>
    </row>
    <row r="77" spans="1:27" ht="15">
      <c r="B77" s="29">
        <f>ROW(B73)</f>
        <v>73</v>
      </c>
      <c r="H77" s="13"/>
      <c r="O77" s="13"/>
      <c r="P77" s="13"/>
      <c r="Q77" s="168"/>
      <c r="R77" s="168"/>
      <c r="S77" s="168"/>
      <c r="T77" s="168"/>
      <c r="U77" s="168"/>
      <c r="V77" s="168"/>
      <c r="W77" s="168"/>
      <c r="X77" s="469"/>
      <c r="Y77" s="498"/>
    </row>
    <row r="78" spans="1:27" ht="15">
      <c r="A78" s="36" t="s">
        <v>138</v>
      </c>
      <c r="B78" s="30" t="e">
        <f>ROW(#REF!)</f>
        <v>#REF!</v>
      </c>
      <c r="C78" s="8"/>
      <c r="D78" s="8" t="s">
        <v>139</v>
      </c>
      <c r="E78" s="130">
        <v>460235</v>
      </c>
      <c r="F78" s="131">
        <v>407438.27</v>
      </c>
      <c r="G78" s="156">
        <v>498755</v>
      </c>
      <c r="H78" s="156">
        <v>408563.82</v>
      </c>
      <c r="I78" s="130">
        <f>I79+I86+I96+I102+I109</f>
        <v>522865</v>
      </c>
      <c r="J78" s="156">
        <v>438835.14000000007</v>
      </c>
      <c r="K78" s="156">
        <f>K79+K86+K96+K102+K109</f>
        <v>578800</v>
      </c>
      <c r="L78" s="156">
        <v>428391.36</v>
      </c>
      <c r="M78" s="156">
        <v>578800</v>
      </c>
      <c r="N78" s="156">
        <f>SUBTOTAL(9,N80:N113)</f>
        <v>553500</v>
      </c>
      <c r="O78" s="170">
        <f t="shared" ref="O78" si="104">SUBTOTAL(9,O80:O113)</f>
        <v>35518.409999999996</v>
      </c>
      <c r="P78" s="170">
        <f t="shared" ref="P78" si="105">SUBTOTAL(9,P80:P113)</f>
        <v>84540.400000000009</v>
      </c>
      <c r="Q78" s="170">
        <f t="shared" ref="Q78" si="106">SUBTOTAL(9,Q80:Q113)</f>
        <v>119009.98</v>
      </c>
      <c r="R78" s="170">
        <f t="shared" ref="R78:T78" si="107">SUBTOTAL(9,R80:R113)</f>
        <v>154079.4</v>
      </c>
      <c r="S78" s="170">
        <f t="shared" si="107"/>
        <v>189058.82</v>
      </c>
      <c r="T78" s="170">
        <f t="shared" si="107"/>
        <v>219457.78999999998</v>
      </c>
      <c r="U78" s="170">
        <f t="shared" ref="U78" si="108">SUBTOTAL(9,U80:U113)</f>
        <v>256137.78000000003</v>
      </c>
      <c r="V78" s="170">
        <f t="shared" ref="V78:W78" si="109">SUBTOTAL(9,V80:V113)</f>
        <v>290988.82</v>
      </c>
      <c r="W78" s="170">
        <f t="shared" si="109"/>
        <v>328922.27999999997</v>
      </c>
      <c r="X78" s="472">
        <v>337948.25</v>
      </c>
      <c r="Y78" s="501">
        <v>406224.67</v>
      </c>
    </row>
    <row r="79" spans="1:27" ht="15" outlineLevel="1">
      <c r="A79" s="45" t="s">
        <v>140</v>
      </c>
      <c r="B79" s="31">
        <f t="shared" si="82"/>
        <v>74</v>
      </c>
      <c r="C79" s="9"/>
      <c r="D79" s="9" t="s">
        <v>141</v>
      </c>
      <c r="E79" s="132">
        <v>70250</v>
      </c>
      <c r="F79" s="17">
        <f t="shared" ref="F79:K79" si="110">SUBTOTAL(9,F80:F84)</f>
        <v>45805</v>
      </c>
      <c r="G79" s="157">
        <f t="shared" si="110"/>
        <v>83690</v>
      </c>
      <c r="H79" s="157">
        <v>41663</v>
      </c>
      <c r="I79" s="132">
        <f t="shared" si="110"/>
        <v>92400</v>
      </c>
      <c r="J79" s="345">
        <v>50455</v>
      </c>
      <c r="K79" s="345">
        <f t="shared" si="110"/>
        <v>77500</v>
      </c>
      <c r="L79" s="157">
        <v>44070</v>
      </c>
      <c r="M79" s="345">
        <v>77500</v>
      </c>
      <c r="N79" s="157">
        <f>SUBTOTAL(9,N80:N84)</f>
        <v>64000</v>
      </c>
      <c r="O79" s="171">
        <f>SUBTOTAL(9,O80:O84)</f>
        <v>4925</v>
      </c>
      <c r="P79" s="171">
        <f>SUBTOTAL(9,P80:P83)</f>
        <v>8040</v>
      </c>
      <c r="Q79" s="171">
        <f t="shared" ref="Q79" si="111">SUBTOTAL(9,Q80:Q84)</f>
        <v>11870</v>
      </c>
      <c r="R79" s="171">
        <f t="shared" ref="R79:T79" si="112">SUBTOTAL(9,R80:R84)</f>
        <v>16290</v>
      </c>
      <c r="S79" s="171">
        <f t="shared" si="112"/>
        <v>20690</v>
      </c>
      <c r="T79" s="171">
        <f t="shared" si="112"/>
        <v>22371.33</v>
      </c>
      <c r="U79" s="171">
        <f t="shared" ref="U79" si="113">SUBTOTAL(9,U80:U84)</f>
        <v>25596.33</v>
      </c>
      <c r="V79" s="171">
        <f t="shared" ref="V79:W79" si="114">SUBTOTAL(9,V80:V84)</f>
        <v>28351.33</v>
      </c>
      <c r="W79" s="171">
        <f t="shared" si="114"/>
        <v>33212.33</v>
      </c>
      <c r="X79" s="473">
        <v>36558.300000000003</v>
      </c>
      <c r="Y79" s="502">
        <v>44679.3</v>
      </c>
    </row>
    <row r="80" spans="1:27" ht="15" outlineLevel="2">
      <c r="A80" s="249" t="s">
        <v>142</v>
      </c>
      <c r="B80" s="32">
        <f t="shared" si="82"/>
        <v>75</v>
      </c>
      <c r="C80" s="10" t="s">
        <v>143</v>
      </c>
      <c r="D80" s="12" t="s">
        <v>144</v>
      </c>
      <c r="E80" s="133">
        <v>17400</v>
      </c>
      <c r="F80" s="134">
        <v>11920</v>
      </c>
      <c r="G80" s="158">
        <v>17440</v>
      </c>
      <c r="H80" s="158">
        <v>10128</v>
      </c>
      <c r="I80" s="133">
        <v>17000</v>
      </c>
      <c r="J80" s="158">
        <v>9120</v>
      </c>
      <c r="K80" s="158">
        <v>17000</v>
      </c>
      <c r="L80" s="158">
        <v>12640</v>
      </c>
      <c r="M80" s="158">
        <v>17000</v>
      </c>
      <c r="N80" s="158">
        <v>18000</v>
      </c>
      <c r="O80" s="172">
        <v>1120</v>
      </c>
      <c r="P80" s="172">
        <v>2240</v>
      </c>
      <c r="Q80" s="172">
        <v>3360</v>
      </c>
      <c r="R80" s="172">
        <v>4480</v>
      </c>
      <c r="S80" s="172">
        <v>5600</v>
      </c>
      <c r="T80" s="172">
        <v>6501.33</v>
      </c>
      <c r="U80" s="172">
        <v>7141.33</v>
      </c>
      <c r="V80" s="172">
        <v>7781.33</v>
      </c>
      <c r="W80" s="172">
        <v>9957.33</v>
      </c>
      <c r="X80" s="474">
        <v>11813.3</v>
      </c>
      <c r="Y80" s="503">
        <v>15269.3</v>
      </c>
      <c r="AA80" s="462"/>
    </row>
    <row r="81" spans="1:27" ht="15" outlineLevel="2">
      <c r="A81" s="249" t="s">
        <v>145</v>
      </c>
      <c r="B81" s="32">
        <f t="shared" si="82"/>
        <v>76</v>
      </c>
      <c r="C81" s="10" t="s">
        <v>146</v>
      </c>
      <c r="D81" s="12" t="s">
        <v>147</v>
      </c>
      <c r="E81" s="133">
        <v>26110</v>
      </c>
      <c r="F81" s="134">
        <v>14025</v>
      </c>
      <c r="G81" s="158">
        <v>39250</v>
      </c>
      <c r="H81" s="158">
        <v>13665</v>
      </c>
      <c r="I81" s="133">
        <v>35000</v>
      </c>
      <c r="J81" s="158">
        <v>14110</v>
      </c>
      <c r="K81" s="158">
        <v>25000</v>
      </c>
      <c r="L81" s="158">
        <v>9815</v>
      </c>
      <c r="M81" s="158">
        <v>25000</v>
      </c>
      <c r="N81" s="158">
        <v>20000</v>
      </c>
      <c r="O81" s="172">
        <v>1595</v>
      </c>
      <c r="P81" s="172">
        <v>2490</v>
      </c>
      <c r="Q81" s="172">
        <v>2920</v>
      </c>
      <c r="R81" s="172">
        <v>3680</v>
      </c>
      <c r="S81" s="172">
        <v>4015</v>
      </c>
      <c r="T81" s="172">
        <v>4225</v>
      </c>
      <c r="U81" s="172">
        <v>4860</v>
      </c>
      <c r="V81" s="172">
        <v>5535</v>
      </c>
      <c r="W81" s="172">
        <v>6830</v>
      </c>
      <c r="X81" s="474">
        <v>7180</v>
      </c>
      <c r="Y81" s="503">
        <v>8225</v>
      </c>
    </row>
    <row r="82" spans="1:27" ht="15" outlineLevel="2">
      <c r="A82" s="46" t="s">
        <v>148</v>
      </c>
      <c r="B82" s="32">
        <f t="shared" si="82"/>
        <v>77</v>
      </c>
      <c r="C82" s="10" t="s">
        <v>148</v>
      </c>
      <c r="D82" s="10" t="s">
        <v>149</v>
      </c>
      <c r="E82" s="133">
        <v>25000</v>
      </c>
      <c r="F82" s="134">
        <v>19640</v>
      </c>
      <c r="G82" s="158">
        <v>25000</v>
      </c>
      <c r="H82" s="158">
        <v>17870</v>
      </c>
      <c r="I82" s="133">
        <v>25000</v>
      </c>
      <c r="J82" s="158">
        <v>25880</v>
      </c>
      <c r="K82" s="158">
        <v>30000</v>
      </c>
      <c r="L82" s="158">
        <v>20910</v>
      </c>
      <c r="M82" s="158">
        <v>30000</v>
      </c>
      <c r="N82" s="158">
        <v>25000</v>
      </c>
      <c r="O82" s="172">
        <v>1970</v>
      </c>
      <c r="P82" s="172">
        <v>3310</v>
      </c>
      <c r="Q82" s="172">
        <v>5350</v>
      </c>
      <c r="R82" s="172">
        <v>7890</v>
      </c>
      <c r="S82" s="172">
        <v>10770</v>
      </c>
      <c r="T82" s="172">
        <v>11340</v>
      </c>
      <c r="U82" s="172">
        <v>13250</v>
      </c>
      <c r="V82" s="172">
        <v>14660</v>
      </c>
      <c r="W82" s="172">
        <v>16050</v>
      </c>
      <c r="X82" s="474">
        <v>17190</v>
      </c>
      <c r="Y82" s="503">
        <v>20810</v>
      </c>
    </row>
    <row r="83" spans="1:27" ht="15" outlineLevel="2">
      <c r="A83" s="46" t="s">
        <v>150</v>
      </c>
      <c r="B83" s="32">
        <f t="shared" si="82"/>
        <v>78</v>
      </c>
      <c r="C83" s="10" t="s">
        <v>59</v>
      </c>
      <c r="D83" s="10" t="s">
        <v>151</v>
      </c>
      <c r="E83" s="133">
        <v>0</v>
      </c>
      <c r="F83" s="135">
        <v>0</v>
      </c>
      <c r="G83" s="158">
        <v>0</v>
      </c>
      <c r="H83" s="158">
        <v>0</v>
      </c>
      <c r="I83" s="133">
        <v>14400</v>
      </c>
      <c r="J83" s="158">
        <v>780</v>
      </c>
      <c r="K83" s="158">
        <v>4000</v>
      </c>
      <c r="L83" s="158">
        <v>0</v>
      </c>
      <c r="M83" s="158">
        <v>4000</v>
      </c>
      <c r="N83" s="158">
        <v>0</v>
      </c>
      <c r="O83" s="172">
        <v>0</v>
      </c>
      <c r="P83" s="172">
        <v>0</v>
      </c>
      <c r="Q83" s="172">
        <v>0</v>
      </c>
      <c r="R83" s="172">
        <v>0</v>
      </c>
      <c r="S83" s="172">
        <v>0</v>
      </c>
      <c r="T83" s="172">
        <v>0</v>
      </c>
      <c r="U83" s="172">
        <v>0</v>
      </c>
      <c r="V83" s="172">
        <v>0</v>
      </c>
      <c r="W83" s="172">
        <v>0</v>
      </c>
      <c r="X83" s="474">
        <v>0</v>
      </c>
      <c r="Y83" s="503">
        <v>0</v>
      </c>
    </row>
    <row r="84" spans="1:27" ht="15" outlineLevel="2">
      <c r="A84" s="46" t="s">
        <v>152</v>
      </c>
      <c r="B84" s="32">
        <f t="shared" si="82"/>
        <v>79</v>
      </c>
      <c r="C84" s="10" t="s">
        <v>153</v>
      </c>
      <c r="D84" s="10" t="s">
        <v>154</v>
      </c>
      <c r="E84" s="136">
        <v>1750</v>
      </c>
      <c r="F84" s="137">
        <v>220</v>
      </c>
      <c r="G84" s="159">
        <v>2000</v>
      </c>
      <c r="H84" s="159">
        <v>272</v>
      </c>
      <c r="I84" s="136">
        <v>1000</v>
      </c>
      <c r="J84" s="159">
        <v>565</v>
      </c>
      <c r="K84" s="159">
        <v>1500</v>
      </c>
      <c r="L84" s="159">
        <v>705</v>
      </c>
      <c r="M84" s="159">
        <v>1500</v>
      </c>
      <c r="N84" s="159">
        <v>1000</v>
      </c>
      <c r="O84" s="172">
        <v>240</v>
      </c>
      <c r="P84" s="172">
        <v>240</v>
      </c>
      <c r="Q84" s="172">
        <v>240</v>
      </c>
      <c r="R84" s="172">
        <v>240</v>
      </c>
      <c r="S84" s="172">
        <v>305</v>
      </c>
      <c r="T84" s="172">
        <v>305</v>
      </c>
      <c r="U84" s="172">
        <v>345</v>
      </c>
      <c r="V84" s="172">
        <v>375</v>
      </c>
      <c r="W84" s="172">
        <v>375</v>
      </c>
      <c r="X84" s="474">
        <v>375</v>
      </c>
      <c r="Y84" s="503">
        <v>375</v>
      </c>
      <c r="AA84" s="391"/>
    </row>
    <row r="85" spans="1:27" ht="15" outlineLevel="1">
      <c r="B85" s="29">
        <f t="shared" si="82"/>
        <v>80</v>
      </c>
      <c r="H85" s="13"/>
      <c r="O85" s="13"/>
      <c r="P85" s="13"/>
      <c r="Q85" s="168"/>
      <c r="R85" s="168"/>
      <c r="S85" s="168"/>
      <c r="T85" s="168"/>
      <c r="U85" s="168"/>
      <c r="V85" s="168"/>
      <c r="W85" s="168"/>
      <c r="X85" s="469"/>
      <c r="Y85" s="498"/>
    </row>
    <row r="86" spans="1:27" ht="15" outlineLevel="1">
      <c r="A86" s="45" t="s">
        <v>155</v>
      </c>
      <c r="B86" s="31">
        <f t="shared" si="82"/>
        <v>81</v>
      </c>
      <c r="C86" s="9"/>
      <c r="D86" s="9" t="s">
        <v>156</v>
      </c>
      <c r="E86" s="138">
        <v>71500</v>
      </c>
      <c r="F86" s="139">
        <f t="shared" ref="F86:K86" si="115">SUBTOTAL(9,F87:F87,F89:F94)</f>
        <v>57708.33</v>
      </c>
      <c r="G86" s="160">
        <v>74670</v>
      </c>
      <c r="H86" s="139">
        <f t="shared" si="115"/>
        <v>56685</v>
      </c>
      <c r="I86" s="160">
        <v>74070</v>
      </c>
      <c r="J86" s="160">
        <v>56010.5</v>
      </c>
      <c r="K86" s="160">
        <f t="shared" si="115"/>
        <v>69300</v>
      </c>
      <c r="L86" s="160">
        <v>51861</v>
      </c>
      <c r="M86" s="160">
        <v>69300</v>
      </c>
      <c r="N86" s="160">
        <f>SUBTOTAL(9,N87:N87,N89:N94)</f>
        <v>71300</v>
      </c>
      <c r="O86" s="17">
        <f>SUBTOTAL(9,O87:O87,O89:O94)</f>
        <v>4135</v>
      </c>
      <c r="P86" s="17">
        <f>SUBTOTAL(9,P87:P87,P89:P94)</f>
        <v>9250</v>
      </c>
      <c r="Q86" s="171">
        <f t="shared" ref="Q86" si="116">SUBTOTAL(9,Q87:Q87,Q89:Q94)</f>
        <v>13565</v>
      </c>
      <c r="R86" s="171">
        <f t="shared" ref="R86:T86" si="117">SUBTOTAL(9,R87:R87,R89:R94)</f>
        <v>17735</v>
      </c>
      <c r="S86" s="171">
        <f t="shared" si="117"/>
        <v>21835</v>
      </c>
      <c r="T86" s="171">
        <f t="shared" si="117"/>
        <v>25158.32</v>
      </c>
      <c r="U86" s="171">
        <f t="shared" ref="U86" si="118">SUBTOTAL(9,U87:U87,U89:U94)</f>
        <v>31200.5</v>
      </c>
      <c r="V86" s="171">
        <f t="shared" ref="V86:W86" si="119">SUBTOTAL(9,V87:V87,V89:V94)</f>
        <v>36030.5</v>
      </c>
      <c r="W86" s="171">
        <f t="shared" si="119"/>
        <v>42615.5</v>
      </c>
      <c r="X86" s="473">
        <v>48295.5</v>
      </c>
      <c r="Y86" s="502">
        <v>55495.5</v>
      </c>
    </row>
    <row r="87" spans="1:27" ht="15" outlineLevel="2">
      <c r="A87" s="249" t="s">
        <v>157</v>
      </c>
      <c r="B87" s="32">
        <f t="shared" si="82"/>
        <v>82</v>
      </c>
      <c r="C87" s="10" t="s">
        <v>158</v>
      </c>
      <c r="D87" s="10" t="s">
        <v>159</v>
      </c>
      <c r="E87" s="133">
        <v>48000</v>
      </c>
      <c r="F87" s="134">
        <v>44193.33</v>
      </c>
      <c r="G87" s="158">
        <v>48000</v>
      </c>
      <c r="H87" s="158">
        <v>46930</v>
      </c>
      <c r="I87" s="158">
        <v>48000</v>
      </c>
      <c r="J87" s="158">
        <v>46055</v>
      </c>
      <c r="K87" s="158">
        <v>48000</v>
      </c>
      <c r="L87" s="158">
        <v>44820</v>
      </c>
      <c r="M87" s="158">
        <v>48000</v>
      </c>
      <c r="N87" s="158">
        <v>55000</v>
      </c>
      <c r="O87" s="172">
        <v>3815</v>
      </c>
      <c r="P87" s="172">
        <v>7630</v>
      </c>
      <c r="Q87" s="172">
        <v>11445</v>
      </c>
      <c r="R87" s="172">
        <v>15260</v>
      </c>
      <c r="S87" s="172">
        <v>19075</v>
      </c>
      <c r="T87" s="172">
        <v>22308.32</v>
      </c>
      <c r="U87" s="172">
        <v>27020.5</v>
      </c>
      <c r="V87" s="172">
        <v>30920.5</v>
      </c>
      <c r="W87" s="172">
        <v>36820.5</v>
      </c>
      <c r="X87" s="474">
        <v>42420.5</v>
      </c>
      <c r="Y87" s="503">
        <v>48420.5</v>
      </c>
      <c r="AA87" s="391"/>
    </row>
    <row r="88" spans="1:27" ht="15" outlineLevel="2">
      <c r="A88" s="249" t="s">
        <v>160</v>
      </c>
      <c r="B88" s="32">
        <f t="shared" si="82"/>
        <v>83</v>
      </c>
      <c r="C88" s="10"/>
      <c r="D88" s="10" t="s">
        <v>161</v>
      </c>
      <c r="E88" s="133">
        <v>22000</v>
      </c>
      <c r="F88" s="134">
        <v>12720</v>
      </c>
      <c r="G88" s="158">
        <v>25670</v>
      </c>
      <c r="H88" s="180">
        <v>9365</v>
      </c>
      <c r="I88" s="158">
        <v>25070</v>
      </c>
      <c r="J88" s="158">
        <v>0</v>
      </c>
      <c r="K88" s="158">
        <v>20300</v>
      </c>
      <c r="L88" s="158"/>
      <c r="M88" s="158">
        <v>20300</v>
      </c>
      <c r="N88" s="158">
        <v>13000</v>
      </c>
      <c r="O88" s="399">
        <f t="shared" ref="O88:W88" si="120">SUBTOTAL(9,O89:O93)</f>
        <v>320</v>
      </c>
      <c r="P88" s="429">
        <f t="shared" si="120"/>
        <v>1620</v>
      </c>
      <c r="Q88" s="430">
        <f t="shared" si="120"/>
        <v>2120</v>
      </c>
      <c r="R88" s="428">
        <f t="shared" si="120"/>
        <v>2475</v>
      </c>
      <c r="S88" s="428">
        <f t="shared" si="120"/>
        <v>2760</v>
      </c>
      <c r="T88" s="428">
        <f t="shared" si="120"/>
        <v>2850</v>
      </c>
      <c r="U88" s="428">
        <f t="shared" si="120"/>
        <v>4180</v>
      </c>
      <c r="V88" s="428">
        <f t="shared" si="120"/>
        <v>5110</v>
      </c>
      <c r="W88" s="428">
        <f t="shared" si="120"/>
        <v>5795</v>
      </c>
      <c r="X88" s="475">
        <v>5875</v>
      </c>
      <c r="Y88" s="504">
        <v>6725</v>
      </c>
    </row>
    <row r="89" spans="1:27" ht="15" outlineLevel="3">
      <c r="A89" s="249" t="s">
        <v>162</v>
      </c>
      <c r="B89" s="32">
        <f t="shared" si="82"/>
        <v>84</v>
      </c>
      <c r="C89" s="10" t="s">
        <v>163</v>
      </c>
      <c r="D89" s="12" t="s">
        <v>164</v>
      </c>
      <c r="E89" s="133">
        <v>10400</v>
      </c>
      <c r="F89" s="134">
        <v>5830</v>
      </c>
      <c r="G89" s="158">
        <v>8600</v>
      </c>
      <c r="H89" s="158">
        <v>3695</v>
      </c>
      <c r="I89" s="158">
        <v>8600</v>
      </c>
      <c r="J89" s="158">
        <v>6315.5</v>
      </c>
      <c r="K89" s="158">
        <v>9500</v>
      </c>
      <c r="L89" s="158">
        <v>4100</v>
      </c>
      <c r="M89" s="158">
        <v>9500</v>
      </c>
      <c r="N89" s="158">
        <v>5000</v>
      </c>
      <c r="O89" s="172">
        <v>80</v>
      </c>
      <c r="P89" s="172">
        <v>835</v>
      </c>
      <c r="Q89" s="172">
        <v>1280</v>
      </c>
      <c r="R89" s="172">
        <v>1550</v>
      </c>
      <c r="S89" s="172">
        <v>1550</v>
      </c>
      <c r="T89" s="172">
        <v>1550</v>
      </c>
      <c r="U89" s="172">
        <v>1880</v>
      </c>
      <c r="V89" s="172">
        <v>2280</v>
      </c>
      <c r="W89" s="172">
        <v>2600</v>
      </c>
      <c r="X89" s="474">
        <v>2600</v>
      </c>
      <c r="Y89" s="503">
        <v>2665</v>
      </c>
    </row>
    <row r="90" spans="1:27" ht="15" outlineLevel="3">
      <c r="A90" s="249" t="s">
        <v>165</v>
      </c>
      <c r="B90" s="32">
        <f t="shared" si="82"/>
        <v>85</v>
      </c>
      <c r="C90" s="10" t="s">
        <v>166</v>
      </c>
      <c r="D90" s="12" t="s">
        <v>167</v>
      </c>
      <c r="E90" s="133">
        <v>1400</v>
      </c>
      <c r="F90" s="134">
        <v>1160</v>
      </c>
      <c r="G90" s="158">
        <v>5270</v>
      </c>
      <c r="H90" s="158">
        <v>560</v>
      </c>
      <c r="I90" s="158">
        <v>5270</v>
      </c>
      <c r="J90" s="158">
        <v>180</v>
      </c>
      <c r="K90" s="158">
        <v>2000</v>
      </c>
      <c r="L90" s="158">
        <v>380</v>
      </c>
      <c r="M90" s="158">
        <v>2000</v>
      </c>
      <c r="N90" s="158">
        <v>1000</v>
      </c>
      <c r="O90" s="172">
        <v>20</v>
      </c>
      <c r="P90" s="172">
        <v>20</v>
      </c>
      <c r="Q90" s="172">
        <v>75</v>
      </c>
      <c r="R90" s="172">
        <v>75</v>
      </c>
      <c r="S90" s="172">
        <v>75</v>
      </c>
      <c r="T90" s="172">
        <v>135</v>
      </c>
      <c r="U90" s="172">
        <v>135</v>
      </c>
      <c r="V90" s="172">
        <v>135</v>
      </c>
      <c r="W90" s="172">
        <v>175</v>
      </c>
      <c r="X90" s="474">
        <v>175</v>
      </c>
      <c r="Y90" s="503">
        <v>255</v>
      </c>
    </row>
    <row r="91" spans="1:27" ht="15" outlineLevel="3">
      <c r="A91" s="249" t="s">
        <v>168</v>
      </c>
      <c r="B91" s="32">
        <f t="shared" si="82"/>
        <v>86</v>
      </c>
      <c r="C91" s="10" t="s">
        <v>169</v>
      </c>
      <c r="D91" s="12" t="s">
        <v>170</v>
      </c>
      <c r="E91" s="133">
        <v>2400</v>
      </c>
      <c r="F91" s="134">
        <v>3110</v>
      </c>
      <c r="G91" s="158">
        <v>4500</v>
      </c>
      <c r="H91" s="158">
        <v>2435</v>
      </c>
      <c r="I91" s="158">
        <v>4400</v>
      </c>
      <c r="J91" s="158">
        <v>180</v>
      </c>
      <c r="K91" s="158">
        <v>2000</v>
      </c>
      <c r="L91" s="158">
        <v>0</v>
      </c>
      <c r="M91" s="158">
        <v>2000</v>
      </c>
      <c r="N91" s="158">
        <v>2000</v>
      </c>
      <c r="O91" s="172">
        <v>0</v>
      </c>
      <c r="P91" s="172">
        <v>0</v>
      </c>
      <c r="Q91" s="172">
        <v>0</v>
      </c>
      <c r="R91" s="172">
        <v>0</v>
      </c>
      <c r="S91" s="172">
        <v>0</v>
      </c>
      <c r="T91" s="172">
        <v>30</v>
      </c>
      <c r="U91" s="172">
        <v>395</v>
      </c>
      <c r="V91" s="172">
        <v>395</v>
      </c>
      <c r="W91" s="172">
        <v>420</v>
      </c>
      <c r="X91" s="474">
        <v>420</v>
      </c>
      <c r="Y91" s="503">
        <v>560</v>
      </c>
    </row>
    <row r="92" spans="1:27" ht="15" outlineLevel="3">
      <c r="A92" s="249" t="s">
        <v>171</v>
      </c>
      <c r="B92" s="32">
        <f t="shared" si="82"/>
        <v>87</v>
      </c>
      <c r="C92" s="10" t="s">
        <v>172</v>
      </c>
      <c r="D92" s="12" t="s">
        <v>173</v>
      </c>
      <c r="E92" s="133">
        <v>4400</v>
      </c>
      <c r="F92" s="134">
        <v>2350</v>
      </c>
      <c r="G92" s="158">
        <v>5000</v>
      </c>
      <c r="H92" s="158">
        <v>2435</v>
      </c>
      <c r="I92" s="158">
        <v>4400</v>
      </c>
      <c r="J92" s="158">
        <v>1490</v>
      </c>
      <c r="K92" s="158">
        <v>4400</v>
      </c>
      <c r="L92" s="158">
        <v>705</v>
      </c>
      <c r="M92" s="158">
        <v>4400</v>
      </c>
      <c r="N92" s="158">
        <v>4500</v>
      </c>
      <c r="O92" s="172">
        <v>220</v>
      </c>
      <c r="P92" s="172">
        <v>765</v>
      </c>
      <c r="Q92" s="172">
        <v>765</v>
      </c>
      <c r="R92" s="172">
        <v>850</v>
      </c>
      <c r="S92" s="172">
        <v>950</v>
      </c>
      <c r="T92" s="172">
        <v>950</v>
      </c>
      <c r="U92" s="172">
        <v>1585</v>
      </c>
      <c r="V92" s="172">
        <v>1865</v>
      </c>
      <c r="W92" s="172">
        <v>1985</v>
      </c>
      <c r="X92" s="474">
        <v>1985</v>
      </c>
      <c r="Y92" s="503">
        <v>2550</v>
      </c>
    </row>
    <row r="93" spans="1:27" ht="15" outlineLevel="3">
      <c r="A93" s="249" t="s">
        <v>174</v>
      </c>
      <c r="B93" s="32">
        <f t="shared" si="82"/>
        <v>88</v>
      </c>
      <c r="C93" s="10" t="s">
        <v>175</v>
      </c>
      <c r="D93" s="12" t="s">
        <v>176</v>
      </c>
      <c r="E93" s="133">
        <v>3400</v>
      </c>
      <c r="F93" s="134">
        <v>270</v>
      </c>
      <c r="G93" s="158">
        <v>2300</v>
      </c>
      <c r="H93" s="158">
        <v>240</v>
      </c>
      <c r="I93" s="158">
        <v>2400</v>
      </c>
      <c r="J93" s="158">
        <v>1005</v>
      </c>
      <c r="K93" s="158">
        <v>2400</v>
      </c>
      <c r="L93" s="158">
        <v>845</v>
      </c>
      <c r="M93" s="158">
        <v>2400</v>
      </c>
      <c r="N93" s="158">
        <v>1800</v>
      </c>
      <c r="O93" s="172">
        <v>0</v>
      </c>
      <c r="P93" s="172">
        <v>0</v>
      </c>
      <c r="Q93" s="172">
        <v>0</v>
      </c>
      <c r="R93" s="172">
        <v>0</v>
      </c>
      <c r="S93" s="172">
        <v>185</v>
      </c>
      <c r="T93" s="172">
        <v>185</v>
      </c>
      <c r="U93" s="172">
        <v>185</v>
      </c>
      <c r="V93" s="172">
        <v>435</v>
      </c>
      <c r="W93" s="172">
        <v>615</v>
      </c>
      <c r="X93" s="474">
        <v>695</v>
      </c>
      <c r="Y93" s="503">
        <v>695</v>
      </c>
    </row>
    <row r="94" spans="1:27" ht="15" outlineLevel="2">
      <c r="A94" s="249" t="s">
        <v>177</v>
      </c>
      <c r="B94" s="32">
        <f t="shared" si="82"/>
        <v>89</v>
      </c>
      <c r="C94" s="10" t="s">
        <v>178</v>
      </c>
      <c r="D94" s="10" t="s">
        <v>179</v>
      </c>
      <c r="E94" s="136">
        <v>1500</v>
      </c>
      <c r="F94" s="137">
        <v>795</v>
      </c>
      <c r="G94" s="159">
        <v>1000</v>
      </c>
      <c r="H94" s="159">
        <v>390</v>
      </c>
      <c r="I94" s="159">
        <v>1000</v>
      </c>
      <c r="J94" s="159">
        <v>785</v>
      </c>
      <c r="K94" s="159">
        <v>1000</v>
      </c>
      <c r="L94" s="159">
        <v>1011</v>
      </c>
      <c r="M94" s="159">
        <v>1000</v>
      </c>
      <c r="N94" s="159">
        <v>2000</v>
      </c>
      <c r="O94" s="172">
        <v>0</v>
      </c>
      <c r="P94" s="172">
        <v>0</v>
      </c>
      <c r="Q94" s="172">
        <v>0</v>
      </c>
      <c r="R94" s="172">
        <v>0</v>
      </c>
      <c r="S94" s="172">
        <v>0</v>
      </c>
      <c r="T94" s="172">
        <v>0</v>
      </c>
      <c r="U94" s="172">
        <v>0</v>
      </c>
      <c r="V94" s="172">
        <v>0</v>
      </c>
      <c r="W94" s="172">
        <v>0</v>
      </c>
      <c r="X94" s="474">
        <v>0</v>
      </c>
      <c r="Y94" s="503">
        <v>350</v>
      </c>
    </row>
    <row r="95" spans="1:27" ht="15" outlineLevel="1">
      <c r="B95" s="29">
        <f t="shared" si="82"/>
        <v>90</v>
      </c>
      <c r="H95" s="13"/>
      <c r="O95" s="13"/>
      <c r="P95" s="13"/>
      <c r="Q95" s="168"/>
      <c r="R95" s="168"/>
      <c r="S95" s="168"/>
      <c r="T95" s="168"/>
      <c r="U95" s="168"/>
      <c r="V95" s="168"/>
      <c r="W95" s="168"/>
      <c r="X95" s="469"/>
      <c r="Y95" s="498"/>
    </row>
    <row r="96" spans="1:27" ht="15" outlineLevel="1">
      <c r="A96" s="45" t="s">
        <v>180</v>
      </c>
      <c r="B96" s="31">
        <f t="shared" si="82"/>
        <v>91</v>
      </c>
      <c r="C96" s="9"/>
      <c r="D96" s="9" t="s">
        <v>181</v>
      </c>
      <c r="E96" s="138">
        <v>107185</v>
      </c>
      <c r="F96" s="140">
        <f t="shared" ref="F96:O96" si="121">SUBTOTAL(9,F97:F100)</f>
        <v>116485.4</v>
      </c>
      <c r="G96" s="160">
        <v>115200</v>
      </c>
      <c r="H96" s="140">
        <f t="shared" si="121"/>
        <v>112954.2</v>
      </c>
      <c r="I96" s="160">
        <v>115200</v>
      </c>
      <c r="J96" s="296">
        <v>107016.14</v>
      </c>
      <c r="K96" s="296">
        <f t="shared" si="121"/>
        <v>124250</v>
      </c>
      <c r="L96" s="296">
        <v>80702.990000000005</v>
      </c>
      <c r="M96" s="296">
        <v>124250</v>
      </c>
      <c r="N96" s="296">
        <f>SUBTOTAL(9,N97:N100)</f>
        <v>105250</v>
      </c>
      <c r="O96" s="174">
        <f t="shared" si="121"/>
        <v>7563.1</v>
      </c>
      <c r="P96" s="174">
        <f t="shared" ref="P96" si="122">SUBTOTAL(9,P97:P100)</f>
        <v>13903.1</v>
      </c>
      <c r="Q96" s="174">
        <f t="shared" ref="Q96:R96" si="123">SUBTOTAL(9,Q97:Q100)</f>
        <v>20243.099999999999</v>
      </c>
      <c r="R96" s="174">
        <f t="shared" si="123"/>
        <v>26583.1</v>
      </c>
      <c r="S96" s="174">
        <f t="shared" ref="S96:T96" si="124">SUBTOTAL(9,S97:S100)</f>
        <v>32923.1</v>
      </c>
      <c r="T96" s="174">
        <f t="shared" si="124"/>
        <v>38148.899999999994</v>
      </c>
      <c r="U96" s="174">
        <f t="shared" ref="U96" si="125">SUBTOTAL(9,U97:U100)</f>
        <v>44780.54</v>
      </c>
      <c r="V96" s="174">
        <f t="shared" ref="V96:W96" si="126">SUBTOTAL(9,V97:V100)</f>
        <v>50501.06</v>
      </c>
      <c r="W96" s="174">
        <f t="shared" si="126"/>
        <v>56207.06</v>
      </c>
      <c r="X96" s="476">
        <v>56207.06</v>
      </c>
      <c r="Y96" s="505">
        <v>80384.12</v>
      </c>
    </row>
    <row r="97" spans="1:27" ht="15" outlineLevel="2">
      <c r="A97" s="46" t="s">
        <v>182</v>
      </c>
      <c r="B97" s="32">
        <f t="shared" si="82"/>
        <v>92</v>
      </c>
      <c r="C97" s="10" t="s">
        <v>183</v>
      </c>
      <c r="D97" s="12" t="s">
        <v>184</v>
      </c>
      <c r="E97" s="133">
        <v>63000</v>
      </c>
      <c r="F97" s="134">
        <v>68187</v>
      </c>
      <c r="G97" s="158">
        <v>70000</v>
      </c>
      <c r="H97" s="158">
        <v>66757.8</v>
      </c>
      <c r="I97" s="158">
        <v>70000</v>
      </c>
      <c r="J97" s="158">
        <v>63244.800000000003</v>
      </c>
      <c r="K97" s="158">
        <v>75000</v>
      </c>
      <c r="L97" s="158">
        <v>57150</v>
      </c>
      <c r="M97" s="158">
        <v>75000</v>
      </c>
      <c r="N97" s="158">
        <v>60000</v>
      </c>
      <c r="O97" s="173">
        <v>4500</v>
      </c>
      <c r="P97" s="172">
        <v>9000</v>
      </c>
      <c r="Q97" s="172">
        <v>13500</v>
      </c>
      <c r="R97" s="172">
        <v>18000</v>
      </c>
      <c r="S97" s="172">
        <v>22500</v>
      </c>
      <c r="T97" s="172">
        <v>26220</v>
      </c>
      <c r="U97" s="172">
        <v>30735</v>
      </c>
      <c r="V97" s="172">
        <v>34785</v>
      </c>
      <c r="W97" s="172">
        <v>38835</v>
      </c>
      <c r="X97" s="474">
        <v>38835</v>
      </c>
      <c r="Y97" s="503">
        <v>46935</v>
      </c>
      <c r="AA97" s="391"/>
    </row>
    <row r="98" spans="1:27" ht="15" outlineLevel="2">
      <c r="A98" s="46" t="s">
        <v>185</v>
      </c>
      <c r="B98" s="32">
        <f t="shared" si="82"/>
        <v>93</v>
      </c>
      <c r="C98" s="10" t="s">
        <v>186</v>
      </c>
      <c r="D98" s="420" t="s">
        <v>187</v>
      </c>
      <c r="E98" s="133">
        <v>19000</v>
      </c>
      <c r="F98" s="134">
        <v>21331.89</v>
      </c>
      <c r="G98" s="158">
        <v>18000</v>
      </c>
      <c r="H98" s="158">
        <v>19458.599999999999</v>
      </c>
      <c r="I98" s="158">
        <v>18000</v>
      </c>
      <c r="J98" s="158">
        <v>18342.72</v>
      </c>
      <c r="K98" s="158">
        <v>22000</v>
      </c>
      <c r="L98" s="158">
        <v>1143</v>
      </c>
      <c r="M98" s="158">
        <v>22000</v>
      </c>
      <c r="N98" s="158">
        <v>25000</v>
      </c>
      <c r="O98" s="173">
        <f>90+1223.1</f>
        <v>1313.1</v>
      </c>
      <c r="P98" s="172">
        <f>180+1223.1</f>
        <v>1403.1</v>
      </c>
      <c r="Q98" s="172">
        <f>270+1223.1</f>
        <v>1493.1</v>
      </c>
      <c r="R98" s="172">
        <f>360+1223.1</f>
        <v>1583.1</v>
      </c>
      <c r="S98" s="172">
        <f>450+1223.1</f>
        <v>1673.1</v>
      </c>
      <c r="T98" s="172">
        <f>524.4+1207.86</f>
        <v>1732.2599999999998</v>
      </c>
      <c r="U98" s="172">
        <f>614.7+1478.37</f>
        <v>2093.0699999999997</v>
      </c>
      <c r="V98" s="172">
        <f>695.7+1321.11</f>
        <v>2016.81</v>
      </c>
      <c r="W98" s="172">
        <f>776.7+1321.11</f>
        <v>2097.81</v>
      </c>
      <c r="X98" s="474">
        <v>2097.81</v>
      </c>
      <c r="Y98" s="503">
        <v>15024.87</v>
      </c>
      <c r="AA98" s="391"/>
    </row>
    <row r="99" spans="1:27" ht="15" outlineLevel="2">
      <c r="A99" s="46" t="s">
        <v>188</v>
      </c>
      <c r="B99" s="32">
        <f t="shared" si="82"/>
        <v>94</v>
      </c>
      <c r="C99" s="10" t="s">
        <v>142</v>
      </c>
      <c r="D99" s="12" t="s">
        <v>189</v>
      </c>
      <c r="E99" s="133">
        <v>25000</v>
      </c>
      <c r="F99" s="134">
        <v>26775</v>
      </c>
      <c r="G99" s="158">
        <v>27000</v>
      </c>
      <c r="H99" s="158">
        <v>26512.5</v>
      </c>
      <c r="I99" s="158">
        <v>27000</v>
      </c>
      <c r="J99" s="158">
        <v>25200</v>
      </c>
      <c r="K99" s="158">
        <v>27000</v>
      </c>
      <c r="L99" s="158">
        <v>22225</v>
      </c>
      <c r="M99" s="158">
        <v>27000</v>
      </c>
      <c r="N99" s="158">
        <v>20000</v>
      </c>
      <c r="O99" s="173">
        <v>1750</v>
      </c>
      <c r="P99" s="172">
        <v>3500</v>
      </c>
      <c r="Q99" s="172">
        <v>5250</v>
      </c>
      <c r="R99" s="172">
        <v>7000</v>
      </c>
      <c r="S99" s="172">
        <v>8750</v>
      </c>
      <c r="T99" s="172">
        <v>10196.64</v>
      </c>
      <c r="U99" s="172">
        <v>11952.47</v>
      </c>
      <c r="V99" s="172">
        <v>13527.47</v>
      </c>
      <c r="W99" s="172">
        <v>15102.47</v>
      </c>
      <c r="X99" s="474">
        <v>15102.47</v>
      </c>
      <c r="Y99" s="503">
        <v>18252.47</v>
      </c>
      <c r="AA99" s="391"/>
    </row>
    <row r="100" spans="1:27" ht="15" outlineLevel="2">
      <c r="A100" s="46" t="s">
        <v>190</v>
      </c>
      <c r="B100" s="32">
        <f t="shared" si="82"/>
        <v>95</v>
      </c>
      <c r="C100" s="10" t="s">
        <v>191</v>
      </c>
      <c r="D100" s="12" t="s">
        <v>192</v>
      </c>
      <c r="E100" s="136">
        <v>185</v>
      </c>
      <c r="F100" s="137">
        <v>191.51</v>
      </c>
      <c r="G100" s="159">
        <v>200</v>
      </c>
      <c r="H100" s="159">
        <v>225.3</v>
      </c>
      <c r="I100" s="159">
        <v>200</v>
      </c>
      <c r="J100" s="159">
        <v>228.62</v>
      </c>
      <c r="K100" s="159">
        <v>250</v>
      </c>
      <c r="L100" s="159">
        <v>184.99</v>
      </c>
      <c r="M100" s="159">
        <v>250</v>
      </c>
      <c r="N100" s="159">
        <v>250</v>
      </c>
      <c r="O100" s="172">
        <v>0</v>
      </c>
      <c r="P100" s="172">
        <v>0</v>
      </c>
      <c r="Q100" s="172">
        <v>0</v>
      </c>
      <c r="R100" s="172">
        <v>0</v>
      </c>
      <c r="S100" s="172">
        <v>0</v>
      </c>
      <c r="T100" s="172">
        <v>0</v>
      </c>
      <c r="U100" s="172">
        <v>0</v>
      </c>
      <c r="V100" s="172">
        <v>171.78</v>
      </c>
      <c r="W100" s="172">
        <v>171.78</v>
      </c>
      <c r="X100" s="474">
        <v>171.78</v>
      </c>
      <c r="Y100" s="503">
        <v>171.78</v>
      </c>
      <c r="AA100" s="391"/>
    </row>
    <row r="101" spans="1:27" ht="15" outlineLevel="1">
      <c r="B101" s="29">
        <f t="shared" si="82"/>
        <v>96</v>
      </c>
      <c r="H101" s="13"/>
      <c r="O101" s="168"/>
      <c r="P101" s="168"/>
      <c r="Q101" s="168"/>
      <c r="R101" s="168"/>
      <c r="S101" s="168"/>
      <c r="T101" s="168"/>
      <c r="U101" s="168"/>
      <c r="V101" s="168"/>
      <c r="W101" s="168"/>
      <c r="X101" s="469"/>
      <c r="Y101" s="498"/>
    </row>
    <row r="102" spans="1:27" ht="15" outlineLevel="1">
      <c r="A102" s="45" t="s">
        <v>193</v>
      </c>
      <c r="B102" s="31">
        <f t="shared" si="82"/>
        <v>97</v>
      </c>
      <c r="C102" s="9"/>
      <c r="D102" s="9" t="s">
        <v>194</v>
      </c>
      <c r="E102" s="138">
        <v>206500</v>
      </c>
      <c r="F102" s="141">
        <f t="shared" ref="F102:O102" si="127">SUBTOTAL(9,F103:F107)</f>
        <v>187240.54</v>
      </c>
      <c r="G102" s="160">
        <v>220495</v>
      </c>
      <c r="H102" s="140">
        <f t="shared" si="127"/>
        <v>196285.44000000003</v>
      </c>
      <c r="I102" s="160">
        <v>236495</v>
      </c>
      <c r="J102" s="296">
        <v>225096.3</v>
      </c>
      <c r="K102" s="296">
        <f t="shared" si="127"/>
        <v>296750</v>
      </c>
      <c r="L102" s="296">
        <v>251522.22999999998</v>
      </c>
      <c r="M102" s="296">
        <v>296750</v>
      </c>
      <c r="N102" s="296">
        <f>SUBTOTAL(9,N103:N107)</f>
        <v>298750</v>
      </c>
      <c r="O102" s="174">
        <f t="shared" si="127"/>
        <v>18895.310000000001</v>
      </c>
      <c r="P102" s="174">
        <f t="shared" ref="P102" si="128">SUBTOTAL(9,P103:P107)</f>
        <v>53107.299999999996</v>
      </c>
      <c r="Q102" s="174">
        <f t="shared" ref="Q102:R102" si="129">SUBTOTAL(9,Q103:Q107)</f>
        <v>73187.88</v>
      </c>
      <c r="R102" s="174">
        <f t="shared" si="129"/>
        <v>93327.299999999988</v>
      </c>
      <c r="S102" s="174">
        <f t="shared" ref="S102:T102" si="130">SUBTOTAL(9,S103:S107)</f>
        <v>113466.72</v>
      </c>
      <c r="T102" s="174">
        <f t="shared" si="130"/>
        <v>133635.24</v>
      </c>
      <c r="U102" s="174">
        <f t="shared" ref="U102" si="131">SUBTOTAL(9,U103:U107)</f>
        <v>154277.41000000003</v>
      </c>
      <c r="V102" s="174">
        <f t="shared" ref="V102:W102" si="132">SUBTOTAL(9,V103:V107)</f>
        <v>175822.93</v>
      </c>
      <c r="W102" s="174">
        <f t="shared" si="132"/>
        <v>196604.38999999998</v>
      </c>
      <c r="X102" s="476">
        <v>196604.39</v>
      </c>
      <c r="Y102" s="505">
        <v>225382.75</v>
      </c>
    </row>
    <row r="103" spans="1:27" ht="15" outlineLevel="2">
      <c r="A103" s="46" t="s">
        <v>195</v>
      </c>
      <c r="B103" s="32">
        <f t="shared" si="82"/>
        <v>98</v>
      </c>
      <c r="C103" s="10" t="s">
        <v>196</v>
      </c>
      <c r="D103" s="12" t="s">
        <v>197</v>
      </c>
      <c r="E103" s="133">
        <v>92500</v>
      </c>
      <c r="F103" s="134">
        <v>90530.79</v>
      </c>
      <c r="G103" s="158">
        <v>102000</v>
      </c>
      <c r="H103" s="180">
        <v>93878.16</v>
      </c>
      <c r="I103" s="158">
        <v>118000</v>
      </c>
      <c r="J103" s="158">
        <v>109366.09</v>
      </c>
      <c r="K103" s="158">
        <v>230000</v>
      </c>
      <c r="L103" s="158">
        <v>187146.48</v>
      </c>
      <c r="M103" s="158">
        <v>230000</v>
      </c>
      <c r="N103" s="158">
        <v>230000</v>
      </c>
      <c r="O103" s="173">
        <f>14915.15+5.01+43.5</f>
        <v>14963.66</v>
      </c>
      <c r="P103" s="172">
        <f>40848.65+87+37.83+10.02</f>
        <v>40983.5</v>
      </c>
      <c r="Q103" s="172">
        <f>55763.8+130.5+15.03</f>
        <v>55909.33</v>
      </c>
      <c r="R103" s="172">
        <f>70678.95+177.75+20.04</f>
        <v>70876.739999999991</v>
      </c>
      <c r="S103" s="172">
        <f>85594.1+225+25.05</f>
        <v>85844.150000000009</v>
      </c>
      <c r="T103" s="172">
        <f>100509.25+272.25+30.06</f>
        <v>100811.56</v>
      </c>
      <c r="U103" s="172">
        <f>115842.02+319.5+35.07</f>
        <v>116196.59000000001</v>
      </c>
      <c r="V103" s="172">
        <f>131174.79+366.75+40.08</f>
        <v>131581.62</v>
      </c>
      <c r="W103" s="172">
        <f>146507.56+414+45.09</f>
        <v>146966.65</v>
      </c>
      <c r="X103" s="474">
        <v>146966.65</v>
      </c>
      <c r="Y103" s="503">
        <v>177717.21</v>
      </c>
      <c r="AA103" s="391"/>
    </row>
    <row r="104" spans="1:27" ht="15" outlineLevel="2">
      <c r="A104" s="46" t="s">
        <v>198</v>
      </c>
      <c r="B104" s="32">
        <f t="shared" si="82"/>
        <v>99</v>
      </c>
      <c r="C104" s="10" t="s">
        <v>199</v>
      </c>
      <c r="D104" s="12" t="s">
        <v>200</v>
      </c>
      <c r="E104" s="133">
        <v>26000</v>
      </c>
      <c r="F104" s="134">
        <v>20905.61</v>
      </c>
      <c r="G104" s="158">
        <v>28000</v>
      </c>
      <c r="H104" s="180">
        <v>25672.59</v>
      </c>
      <c r="I104" s="158">
        <v>26000</v>
      </c>
      <c r="J104" s="158">
        <v>30289.4</v>
      </c>
      <c r="K104" s="158">
        <v>0</v>
      </c>
      <c r="L104" s="158">
        <v>0</v>
      </c>
      <c r="M104" s="158">
        <v>0</v>
      </c>
      <c r="N104" s="158">
        <v>0</v>
      </c>
      <c r="O104" s="173">
        <v>0</v>
      </c>
      <c r="P104" s="172">
        <v>0</v>
      </c>
      <c r="Q104" s="172">
        <v>0</v>
      </c>
      <c r="R104" s="172">
        <v>0</v>
      </c>
      <c r="S104" s="172">
        <v>0</v>
      </c>
      <c r="T104" s="172">
        <v>0</v>
      </c>
      <c r="U104" s="172">
        <v>0</v>
      </c>
      <c r="V104" s="172">
        <v>0</v>
      </c>
      <c r="W104" s="172">
        <v>0</v>
      </c>
      <c r="X104" s="474">
        <v>0</v>
      </c>
      <c r="Y104" s="503">
        <v>0</v>
      </c>
    </row>
    <row r="105" spans="1:27" ht="15" outlineLevel="2">
      <c r="A105" s="46" t="s">
        <v>201</v>
      </c>
      <c r="B105" s="32">
        <f t="shared" si="82"/>
        <v>100</v>
      </c>
      <c r="C105" s="10" t="s">
        <v>202</v>
      </c>
      <c r="D105" s="12" t="s">
        <v>203</v>
      </c>
      <c r="E105" s="133">
        <v>73000</v>
      </c>
      <c r="F105" s="134">
        <v>63085.8</v>
      </c>
      <c r="G105" s="158">
        <v>75000</v>
      </c>
      <c r="H105" s="180">
        <v>64594.26</v>
      </c>
      <c r="I105" s="158">
        <v>77000</v>
      </c>
      <c r="J105" s="158">
        <v>72516.45</v>
      </c>
      <c r="K105" s="158">
        <v>50000</v>
      </c>
      <c r="L105" s="158">
        <v>53764.08</v>
      </c>
      <c r="M105" s="158">
        <v>50000</v>
      </c>
      <c r="N105" s="158">
        <v>55000</v>
      </c>
      <c r="O105" s="173">
        <f>4335.91-1223.1</f>
        <v>3112.81</v>
      </c>
      <c r="P105" s="172">
        <f>11104.3-1223.1</f>
        <v>9881.1999999999989</v>
      </c>
      <c r="Q105" s="172">
        <f>15440.21-1223.1</f>
        <v>14217.109999999999</v>
      </c>
      <c r="R105" s="172">
        <f>19793.38-1223.1</f>
        <v>18570.280000000002</v>
      </c>
      <c r="S105" s="172">
        <f>24146.55-1223.1</f>
        <v>22923.45</v>
      </c>
      <c r="T105" s="172">
        <f>28513.58-1207.86</f>
        <v>27305.72</v>
      </c>
      <c r="U105" s="172">
        <f>33199.46-1478.37</f>
        <v>31721.09</v>
      </c>
      <c r="V105" s="172">
        <f>37754.12-1321.11</f>
        <v>36433.01</v>
      </c>
      <c r="W105" s="172">
        <f>42308.78-1321.11</f>
        <v>40987.67</v>
      </c>
      <c r="X105" s="474">
        <v>40987.67</v>
      </c>
      <c r="Y105" s="503">
        <v>37331.93</v>
      </c>
      <c r="AA105" s="391"/>
    </row>
    <row r="106" spans="1:27" ht="15" outlineLevel="2">
      <c r="A106" s="46" t="s">
        <v>204</v>
      </c>
      <c r="B106" s="32">
        <f t="shared" si="82"/>
        <v>101</v>
      </c>
      <c r="C106" s="10" t="s">
        <v>205</v>
      </c>
      <c r="D106" s="12" t="s">
        <v>206</v>
      </c>
      <c r="E106" s="133">
        <v>14500</v>
      </c>
      <c r="F106" s="134">
        <v>12261.25</v>
      </c>
      <c r="G106" s="158">
        <v>15000</v>
      </c>
      <c r="H106" s="180">
        <v>11668.73</v>
      </c>
      <c r="I106" s="158">
        <v>15000</v>
      </c>
      <c r="J106" s="158">
        <v>12339.4</v>
      </c>
      <c r="K106" s="158">
        <v>16000</v>
      </c>
      <c r="L106" s="158">
        <v>10097.61</v>
      </c>
      <c r="M106" s="158">
        <v>16000</v>
      </c>
      <c r="N106" s="158">
        <v>13000</v>
      </c>
      <c r="O106" s="173">
        <v>818.84</v>
      </c>
      <c r="P106" s="172">
        <v>2242.6</v>
      </c>
      <c r="Q106" s="172">
        <v>3061.44</v>
      </c>
      <c r="R106" s="172">
        <v>3880.28</v>
      </c>
      <c r="S106" s="172">
        <v>4699.12</v>
      </c>
      <c r="T106" s="172">
        <v>5517.96</v>
      </c>
      <c r="U106" s="172">
        <v>6359.73</v>
      </c>
      <c r="V106" s="172">
        <v>7201.5</v>
      </c>
      <c r="W106" s="172">
        <v>8043.27</v>
      </c>
      <c r="X106" s="474">
        <v>8043.27</v>
      </c>
      <c r="Y106" s="503">
        <v>9726.81</v>
      </c>
    </row>
    <row r="107" spans="1:27" ht="15" outlineLevel="2">
      <c r="A107" s="46" t="s">
        <v>207</v>
      </c>
      <c r="B107" s="32">
        <f t="shared" si="82"/>
        <v>102</v>
      </c>
      <c r="C107" s="10" t="s">
        <v>208</v>
      </c>
      <c r="D107" s="12" t="s">
        <v>209</v>
      </c>
      <c r="E107" s="136">
        <v>500</v>
      </c>
      <c r="F107" s="137">
        <v>457.09</v>
      </c>
      <c r="G107" s="159">
        <v>495</v>
      </c>
      <c r="H107" s="247">
        <v>471.7</v>
      </c>
      <c r="I107" s="159">
        <v>495</v>
      </c>
      <c r="J107" s="159">
        <v>584.96</v>
      </c>
      <c r="K107" s="159">
        <v>750</v>
      </c>
      <c r="L107" s="159">
        <v>514.05999999999995</v>
      </c>
      <c r="M107" s="159">
        <v>750</v>
      </c>
      <c r="N107" s="159">
        <v>750</v>
      </c>
      <c r="O107" s="172">
        <v>0</v>
      </c>
      <c r="P107" s="172">
        <v>0</v>
      </c>
      <c r="Q107" s="172">
        <v>0</v>
      </c>
      <c r="R107" s="172">
        <v>0</v>
      </c>
      <c r="S107" s="172">
        <v>0</v>
      </c>
      <c r="T107" s="172">
        <v>0</v>
      </c>
      <c r="U107" s="172">
        <v>0</v>
      </c>
      <c r="V107" s="172">
        <v>606.79999999999995</v>
      </c>
      <c r="W107" s="172">
        <v>606.79999999999995</v>
      </c>
      <c r="X107" s="474">
        <v>606.79999999999995</v>
      </c>
      <c r="Y107" s="503">
        <v>606.79999999999995</v>
      </c>
      <c r="AA107" s="391"/>
    </row>
    <row r="108" spans="1:27" ht="15" outlineLevel="1">
      <c r="B108" s="29">
        <f t="shared" si="82"/>
        <v>103</v>
      </c>
      <c r="H108" s="13"/>
      <c r="O108" s="168"/>
      <c r="P108" s="13"/>
      <c r="Q108" s="168"/>
      <c r="R108" s="168"/>
      <c r="S108" s="168"/>
      <c r="T108" s="168"/>
      <c r="U108" s="168"/>
      <c r="V108" s="168"/>
      <c r="W108" s="168"/>
      <c r="X108" s="469"/>
      <c r="Y108" s="498"/>
    </row>
    <row r="109" spans="1:27" ht="15" outlineLevel="1">
      <c r="A109" s="45" t="s">
        <v>210</v>
      </c>
      <c r="B109" s="31">
        <f t="shared" si="82"/>
        <v>104</v>
      </c>
      <c r="C109" s="9"/>
      <c r="D109" s="9" t="s">
        <v>211</v>
      </c>
      <c r="E109" s="138">
        <f t="shared" ref="E109:H109" si="133">SUBTOTAL(9,E110:E113)</f>
        <v>4800</v>
      </c>
      <c r="F109" s="141">
        <f t="shared" si="133"/>
        <v>199</v>
      </c>
      <c r="G109" s="160">
        <f t="shared" si="133"/>
        <v>4700</v>
      </c>
      <c r="H109" s="138">
        <f t="shared" si="133"/>
        <v>704.18</v>
      </c>
      <c r="I109" s="160">
        <f t="shared" ref="I109:O109" si="134">SUBTOTAL(9,I110:I113)</f>
        <v>4700</v>
      </c>
      <c r="J109" s="160">
        <v>257.2</v>
      </c>
      <c r="K109" s="160">
        <f t="shared" si="134"/>
        <v>11000</v>
      </c>
      <c r="L109" s="160">
        <v>235.14</v>
      </c>
      <c r="M109" s="160">
        <v>11000</v>
      </c>
      <c r="N109" s="160">
        <f>SUBTOTAL(9,N110:N113)</f>
        <v>1200</v>
      </c>
      <c r="O109" s="174">
        <f t="shared" si="134"/>
        <v>0</v>
      </c>
      <c r="P109" s="174">
        <f t="shared" ref="P109" si="135">SUBTOTAL(9,P110:P113)</f>
        <v>0</v>
      </c>
      <c r="Q109" s="174">
        <f t="shared" ref="Q109:R109" si="136">SUBTOTAL(9,Q110:Q113)</f>
        <v>144</v>
      </c>
      <c r="R109" s="174">
        <f t="shared" si="136"/>
        <v>144</v>
      </c>
      <c r="S109" s="174">
        <f t="shared" ref="S109:T109" si="137">SUBTOTAL(9,S110:S113)</f>
        <v>144</v>
      </c>
      <c r="T109" s="174">
        <f t="shared" si="137"/>
        <v>144</v>
      </c>
      <c r="U109" s="174">
        <f t="shared" ref="U109" si="138">SUBTOTAL(9,U110:U113)</f>
        <v>283</v>
      </c>
      <c r="V109" s="174">
        <f t="shared" ref="V109:W109" si="139">SUBTOTAL(9,V110:V113)</f>
        <v>283</v>
      </c>
      <c r="W109" s="174">
        <f t="shared" si="139"/>
        <v>283</v>
      </c>
      <c r="X109" s="476">
        <v>283</v>
      </c>
      <c r="Y109" s="505">
        <v>283</v>
      </c>
    </row>
    <row r="110" spans="1:27" ht="15" outlineLevel="2">
      <c r="A110" s="46" t="s">
        <v>212</v>
      </c>
      <c r="B110" s="32">
        <f t="shared" si="82"/>
        <v>105</v>
      </c>
      <c r="C110" s="10" t="s">
        <v>213</v>
      </c>
      <c r="D110" s="10" t="s">
        <v>214</v>
      </c>
      <c r="E110" s="133">
        <v>1500</v>
      </c>
      <c r="F110" s="134">
        <v>0</v>
      </c>
      <c r="G110" s="158">
        <v>1500</v>
      </c>
      <c r="H110" s="158">
        <v>150.31</v>
      </c>
      <c r="I110" s="158">
        <v>1500</v>
      </c>
      <c r="J110" s="158">
        <v>0</v>
      </c>
      <c r="K110" s="158">
        <v>8000</v>
      </c>
      <c r="L110" s="158">
        <v>0</v>
      </c>
      <c r="M110" s="158">
        <v>8000</v>
      </c>
      <c r="N110" s="158">
        <v>500</v>
      </c>
      <c r="O110" s="172">
        <v>0</v>
      </c>
      <c r="P110" s="172">
        <v>0</v>
      </c>
      <c r="Q110" s="172">
        <v>0</v>
      </c>
      <c r="R110" s="172">
        <v>0</v>
      </c>
      <c r="S110" s="172">
        <v>0</v>
      </c>
      <c r="T110" s="172">
        <v>0</v>
      </c>
      <c r="U110" s="172">
        <v>100</v>
      </c>
      <c r="V110" s="172">
        <v>100</v>
      </c>
      <c r="W110" s="172">
        <v>100</v>
      </c>
      <c r="X110" s="474">
        <v>100</v>
      </c>
      <c r="Y110" s="503">
        <v>100</v>
      </c>
      <c r="AA110" s="391"/>
    </row>
    <row r="111" spans="1:27" ht="15" outlineLevel="2">
      <c r="A111" s="46" t="s">
        <v>215</v>
      </c>
      <c r="B111" s="32">
        <f t="shared" si="82"/>
        <v>106</v>
      </c>
      <c r="C111" s="10" t="s">
        <v>216</v>
      </c>
      <c r="D111" s="10" t="s">
        <v>64</v>
      </c>
      <c r="E111" s="133">
        <v>1000</v>
      </c>
      <c r="F111" s="134">
        <v>199</v>
      </c>
      <c r="G111" s="158">
        <v>1000</v>
      </c>
      <c r="H111" s="158">
        <v>487.47</v>
      </c>
      <c r="I111" s="158">
        <v>1000</v>
      </c>
      <c r="J111" s="158">
        <v>215</v>
      </c>
      <c r="K111" s="158">
        <v>1000</v>
      </c>
      <c r="L111" s="158">
        <v>144</v>
      </c>
      <c r="M111" s="158">
        <v>1000</v>
      </c>
      <c r="N111" s="158">
        <v>500</v>
      </c>
      <c r="O111" s="172">
        <v>0</v>
      </c>
      <c r="P111" s="172">
        <v>0</v>
      </c>
      <c r="Q111" s="172">
        <v>144</v>
      </c>
      <c r="R111" s="172">
        <v>144</v>
      </c>
      <c r="S111" s="172">
        <v>144</v>
      </c>
      <c r="T111" s="172">
        <v>144</v>
      </c>
      <c r="U111" s="172">
        <v>144</v>
      </c>
      <c r="V111" s="172">
        <v>144</v>
      </c>
      <c r="W111" s="172">
        <v>144</v>
      </c>
      <c r="X111" s="474">
        <v>144</v>
      </c>
      <c r="Y111" s="503">
        <v>144</v>
      </c>
      <c r="AA111" s="391"/>
    </row>
    <row r="112" spans="1:27" ht="15" outlineLevel="2">
      <c r="A112" s="46" t="s">
        <v>217</v>
      </c>
      <c r="B112" s="32">
        <f t="shared" si="82"/>
        <v>107</v>
      </c>
      <c r="C112" s="10" t="s">
        <v>218</v>
      </c>
      <c r="D112" s="10" t="s">
        <v>219</v>
      </c>
      <c r="E112" s="133">
        <v>1500</v>
      </c>
      <c r="F112" s="134">
        <v>0</v>
      </c>
      <c r="G112" s="158">
        <v>1500</v>
      </c>
      <c r="H112" s="158">
        <v>0</v>
      </c>
      <c r="I112" s="158">
        <v>1500</v>
      </c>
      <c r="J112" s="158">
        <v>0</v>
      </c>
      <c r="K112" s="158">
        <v>1000</v>
      </c>
      <c r="L112" s="158">
        <v>0</v>
      </c>
      <c r="M112" s="158">
        <v>1000</v>
      </c>
      <c r="N112" s="158">
        <v>200</v>
      </c>
      <c r="O112" s="172">
        <v>0</v>
      </c>
      <c r="P112" s="172">
        <v>0</v>
      </c>
      <c r="Q112" s="172">
        <v>0</v>
      </c>
      <c r="R112" s="172">
        <v>0</v>
      </c>
      <c r="S112" s="172">
        <v>0</v>
      </c>
      <c r="T112" s="172">
        <v>0</v>
      </c>
      <c r="U112" s="172">
        <v>39</v>
      </c>
      <c r="V112" s="172">
        <v>39</v>
      </c>
      <c r="W112" s="172">
        <v>39</v>
      </c>
      <c r="X112" s="474">
        <v>39</v>
      </c>
      <c r="Y112" s="503">
        <v>39</v>
      </c>
      <c r="AA112" s="391"/>
    </row>
    <row r="113" spans="1:25" ht="15" outlineLevel="2">
      <c r="A113" s="46" t="s">
        <v>220</v>
      </c>
      <c r="B113" s="32">
        <f t="shared" si="82"/>
        <v>108</v>
      </c>
      <c r="C113" s="10" t="s">
        <v>221</v>
      </c>
      <c r="D113" s="10" t="s">
        <v>222</v>
      </c>
      <c r="E113" s="136">
        <v>800</v>
      </c>
      <c r="F113" s="137">
        <v>0</v>
      </c>
      <c r="G113" s="159">
        <v>700</v>
      </c>
      <c r="H113" s="159">
        <v>66.400000000000006</v>
      </c>
      <c r="I113" s="159">
        <v>700</v>
      </c>
      <c r="J113" s="159">
        <v>42.2</v>
      </c>
      <c r="K113" s="159">
        <v>1000</v>
      </c>
      <c r="L113" s="159">
        <v>91.14</v>
      </c>
      <c r="M113" s="159">
        <v>1000</v>
      </c>
      <c r="N113" s="159">
        <v>0</v>
      </c>
      <c r="O113" s="172">
        <v>0</v>
      </c>
      <c r="P113" s="172">
        <v>0</v>
      </c>
      <c r="Q113" s="172">
        <v>0</v>
      </c>
      <c r="R113" s="172">
        <v>0</v>
      </c>
      <c r="S113" s="172">
        <v>0</v>
      </c>
      <c r="T113" s="172">
        <v>0</v>
      </c>
      <c r="U113" s="172">
        <v>0</v>
      </c>
      <c r="V113" s="172">
        <v>0</v>
      </c>
      <c r="W113" s="172">
        <v>0</v>
      </c>
      <c r="X113" s="474">
        <v>0</v>
      </c>
      <c r="Y113" s="503">
        <v>0</v>
      </c>
    </row>
    <row r="114" spans="1:25" ht="15" outlineLevel="1">
      <c r="B114" s="29">
        <f t="shared" si="82"/>
        <v>109</v>
      </c>
      <c r="H114" s="13"/>
      <c r="O114" s="13"/>
      <c r="P114" s="13"/>
      <c r="Q114" s="168"/>
      <c r="R114" s="168"/>
      <c r="S114" s="168"/>
      <c r="T114" s="168"/>
      <c r="U114" s="168"/>
      <c r="V114" s="168"/>
      <c r="W114" s="168"/>
      <c r="X114" s="469"/>
      <c r="Y114" s="498"/>
    </row>
    <row r="115" spans="1:25" ht="15">
      <c r="B115" s="29">
        <f t="shared" si="82"/>
        <v>110</v>
      </c>
      <c r="H115" s="13"/>
      <c r="O115" s="13"/>
      <c r="P115" s="13"/>
      <c r="Q115" s="168"/>
      <c r="R115" s="168"/>
      <c r="S115" s="168"/>
      <c r="T115" s="168"/>
      <c r="U115" s="168"/>
      <c r="V115" s="168"/>
      <c r="W115" s="168"/>
      <c r="X115" s="469"/>
      <c r="Y115" s="498"/>
    </row>
    <row r="116" spans="1:25" ht="15">
      <c r="A116" s="36" t="s">
        <v>223</v>
      </c>
      <c r="B116" s="30">
        <f t="shared" si="82"/>
        <v>111</v>
      </c>
      <c r="C116" s="8"/>
      <c r="D116" s="8" t="s">
        <v>224</v>
      </c>
      <c r="E116" s="130">
        <v>725520</v>
      </c>
      <c r="F116" s="131">
        <v>553204.80000000005</v>
      </c>
      <c r="G116" s="156">
        <v>830147.28</v>
      </c>
      <c r="H116" s="156">
        <v>187682.13</v>
      </c>
      <c r="I116" s="156">
        <f>I117+I127+I132+I144+I156+I168+I174+I183+I228+I238</f>
        <v>827001</v>
      </c>
      <c r="J116" s="156">
        <v>226243.37999999995</v>
      </c>
      <c r="K116" s="156">
        <f>K117+K127+K132+K144+K156+K168+K174+K183+K228+K238</f>
        <v>821400</v>
      </c>
      <c r="L116" s="156">
        <v>256743.57</v>
      </c>
      <c r="M116" s="156">
        <v>821400</v>
      </c>
      <c r="N116" s="156">
        <f>SUBTOTAL(9,N118:N247)</f>
        <v>437052.06</v>
      </c>
      <c r="O116" s="170">
        <f t="shared" ref="O116" si="140">SUBTOTAL(9,O118:O247)</f>
        <v>27109.17</v>
      </c>
      <c r="P116" s="170">
        <f t="shared" ref="P116" si="141">SUBTOTAL(9,P118:P247)</f>
        <v>46186.12</v>
      </c>
      <c r="Q116" s="170">
        <f t="shared" ref="Q116:R116" si="142">SUBTOTAL(9,Q118:Q247)</f>
        <v>72986.640000000014</v>
      </c>
      <c r="R116" s="170">
        <f t="shared" si="142"/>
        <v>88425.52</v>
      </c>
      <c r="S116" s="170">
        <f t="shared" ref="S116:T116" si="143">SUBTOTAL(9,S118:S247)</f>
        <v>138306.82999999999</v>
      </c>
      <c r="T116" s="170">
        <f t="shared" si="143"/>
        <v>163320.29999999999</v>
      </c>
      <c r="U116" s="170">
        <f t="shared" ref="U116" si="144">SUBTOTAL(9,U118:U247)</f>
        <v>181881.84</v>
      </c>
      <c r="V116" s="170">
        <f t="shared" ref="V116:W116" si="145">SUBTOTAL(9,V118:V247)</f>
        <v>201579.86</v>
      </c>
      <c r="W116" s="170">
        <f t="shared" si="145"/>
        <v>215401.61000000007</v>
      </c>
      <c r="X116" s="472">
        <v>241230.15</v>
      </c>
      <c r="Y116" s="501">
        <v>267748.76</v>
      </c>
    </row>
    <row r="117" spans="1:25" ht="15" outlineLevel="1">
      <c r="A117" s="45" t="s">
        <v>225</v>
      </c>
      <c r="B117" s="31">
        <f t="shared" si="82"/>
        <v>112</v>
      </c>
      <c r="C117" s="9"/>
      <c r="D117" s="9" t="s">
        <v>226</v>
      </c>
      <c r="E117" s="132">
        <f t="shared" ref="E117:O117" si="146">SUBTOTAL(9,E118:E125)</f>
        <v>13510</v>
      </c>
      <c r="F117" s="17">
        <f t="shared" si="146"/>
        <v>13208.32</v>
      </c>
      <c r="G117" s="157">
        <v>17532.28</v>
      </c>
      <c r="H117" s="17">
        <f t="shared" si="146"/>
        <v>14506.83</v>
      </c>
      <c r="I117" s="157">
        <v>19685</v>
      </c>
      <c r="J117" s="157">
        <v>14482.934000000001</v>
      </c>
      <c r="K117" s="157">
        <f t="shared" si="146"/>
        <v>24650</v>
      </c>
      <c r="L117" s="157">
        <v>18444.239999999998</v>
      </c>
      <c r="M117" s="157">
        <v>24650</v>
      </c>
      <c r="N117" s="157">
        <f>SUBTOTAL(9,N118:N125)</f>
        <v>18450</v>
      </c>
      <c r="O117" s="171">
        <f t="shared" si="146"/>
        <v>894.1</v>
      </c>
      <c r="P117" s="171">
        <f t="shared" ref="P117" si="147">SUBTOTAL(9,P118:P125)</f>
        <v>2193.15</v>
      </c>
      <c r="Q117" s="171">
        <f t="shared" ref="Q117:R117" si="148">SUBTOTAL(9,Q118:Q125)</f>
        <v>4036.24</v>
      </c>
      <c r="R117" s="171">
        <f t="shared" si="148"/>
        <v>5103.2299999999996</v>
      </c>
      <c r="S117" s="171">
        <f t="shared" ref="S117:T117" si="149">SUBTOTAL(9,S118:S125)</f>
        <v>6415.09</v>
      </c>
      <c r="T117" s="171">
        <f t="shared" si="149"/>
        <v>7488.21</v>
      </c>
      <c r="U117" s="171">
        <f t="shared" ref="U117" si="150">SUBTOTAL(9,U118:U125)</f>
        <v>8167.82</v>
      </c>
      <c r="V117" s="171">
        <f t="shared" ref="V117:W117" si="151">SUBTOTAL(9,V118:V125)</f>
        <v>9847.5799999999981</v>
      </c>
      <c r="W117" s="171">
        <f t="shared" si="151"/>
        <v>11074.08</v>
      </c>
      <c r="X117" s="473">
        <v>12380.38</v>
      </c>
      <c r="Y117" s="502">
        <v>13752.9</v>
      </c>
    </row>
    <row r="118" spans="1:25" ht="15" outlineLevel="2">
      <c r="A118" s="46" t="s">
        <v>227</v>
      </c>
      <c r="B118" s="32">
        <f t="shared" si="82"/>
        <v>113</v>
      </c>
      <c r="C118" s="10" t="s">
        <v>228</v>
      </c>
      <c r="D118" s="10" t="s">
        <v>229</v>
      </c>
      <c r="E118" s="133">
        <v>1610</v>
      </c>
      <c r="F118" s="134">
        <v>953.35</v>
      </c>
      <c r="G118" s="158">
        <v>2000</v>
      </c>
      <c r="H118" s="158">
        <v>1919.29</v>
      </c>
      <c r="I118" s="158">
        <v>3000</v>
      </c>
      <c r="J118" s="158">
        <v>1309.3600000000001</v>
      </c>
      <c r="K118" s="158">
        <v>3500</v>
      </c>
      <c r="L118" s="158">
        <v>2107.7199999999998</v>
      </c>
      <c r="M118" s="158">
        <v>3500</v>
      </c>
      <c r="N118" s="158">
        <v>2000</v>
      </c>
      <c r="O118" s="172">
        <v>21.99</v>
      </c>
      <c r="P118" s="172">
        <v>280.2</v>
      </c>
      <c r="Q118" s="172">
        <f>321.26+566.94</f>
        <v>888.2</v>
      </c>
      <c r="R118" s="172">
        <f>321.26+566.94</f>
        <v>888.2</v>
      </c>
      <c r="S118" s="172">
        <f>361.61+566.94</f>
        <v>928.55000000000007</v>
      </c>
      <c r="T118" s="172">
        <f>361.61+566.94</f>
        <v>928.55000000000007</v>
      </c>
      <c r="U118" s="172">
        <f>408.02+566.94</f>
        <v>974.96</v>
      </c>
      <c r="V118" s="172">
        <f>509.81+566.94</f>
        <v>1076.75</v>
      </c>
      <c r="W118" s="172">
        <f>509.81+566.94</f>
        <v>1076.75</v>
      </c>
      <c r="X118" s="474">
        <v>1123.1600000000001</v>
      </c>
      <c r="Y118" s="503">
        <v>1229.8900000000001</v>
      </c>
    </row>
    <row r="119" spans="1:25" ht="15" outlineLevel="2">
      <c r="A119" s="46" t="s">
        <v>230</v>
      </c>
      <c r="B119" s="32">
        <f t="shared" si="82"/>
        <v>114</v>
      </c>
      <c r="C119" s="10" t="s">
        <v>231</v>
      </c>
      <c r="D119" s="10" t="s">
        <v>232</v>
      </c>
      <c r="E119" s="133">
        <v>550</v>
      </c>
      <c r="F119" s="134">
        <v>322.83999999999997</v>
      </c>
      <c r="G119" s="158">
        <v>800</v>
      </c>
      <c r="H119" s="158">
        <v>931.79</v>
      </c>
      <c r="I119" s="158">
        <v>1500</v>
      </c>
      <c r="J119" s="158">
        <v>431.6</v>
      </c>
      <c r="K119" s="158">
        <v>1500</v>
      </c>
      <c r="L119" s="158">
        <v>975.37</v>
      </c>
      <c r="M119" s="158">
        <v>1500</v>
      </c>
      <c r="N119" s="158">
        <v>600</v>
      </c>
      <c r="O119" s="172">
        <v>2.5</v>
      </c>
      <c r="P119" s="172">
        <v>18.899999999999999</v>
      </c>
      <c r="Q119" s="172">
        <v>237.03</v>
      </c>
      <c r="R119" s="172">
        <v>280.93</v>
      </c>
      <c r="S119" s="172">
        <v>280.93</v>
      </c>
      <c r="T119" s="172">
        <v>280.93</v>
      </c>
      <c r="U119" s="172">
        <v>368.74</v>
      </c>
      <c r="V119" s="172">
        <v>373.24</v>
      </c>
      <c r="W119" s="172">
        <v>373.24</v>
      </c>
      <c r="X119" s="474">
        <v>465.37</v>
      </c>
      <c r="Y119" s="503">
        <v>465.37</v>
      </c>
    </row>
    <row r="120" spans="1:25" ht="15" outlineLevel="2">
      <c r="A120" s="46" t="s">
        <v>233</v>
      </c>
      <c r="B120" s="32">
        <f t="shared" si="82"/>
        <v>115</v>
      </c>
      <c r="C120" s="10" t="s">
        <v>234</v>
      </c>
      <c r="D120" s="10" t="s">
        <v>235</v>
      </c>
      <c r="E120" s="133">
        <v>350</v>
      </c>
      <c r="F120" s="134">
        <v>332.2</v>
      </c>
      <c r="G120" s="158">
        <v>602.28</v>
      </c>
      <c r="H120" s="158">
        <v>267.55</v>
      </c>
      <c r="I120" s="158">
        <v>535</v>
      </c>
      <c r="J120" s="158">
        <v>119.05</v>
      </c>
      <c r="K120" s="158">
        <v>500</v>
      </c>
      <c r="L120" s="158">
        <v>256.14999999999998</v>
      </c>
      <c r="M120" s="158">
        <v>500</v>
      </c>
      <c r="N120" s="158">
        <v>400</v>
      </c>
      <c r="O120" s="172">
        <v>0</v>
      </c>
      <c r="P120" s="172">
        <v>0</v>
      </c>
      <c r="Q120" s="172">
        <v>0</v>
      </c>
      <c r="R120" s="172">
        <v>51.25</v>
      </c>
      <c r="S120" s="172">
        <v>169.35</v>
      </c>
      <c r="T120" s="172">
        <v>169.35</v>
      </c>
      <c r="U120" s="172">
        <v>169.35</v>
      </c>
      <c r="V120" s="172">
        <v>185.94</v>
      </c>
      <c r="W120" s="172">
        <v>195.84</v>
      </c>
      <c r="X120" s="474">
        <v>290.83999999999997</v>
      </c>
      <c r="Y120" s="503">
        <v>290.83999999999997</v>
      </c>
    </row>
    <row r="121" spans="1:25" ht="15" outlineLevel="2">
      <c r="A121" s="46" t="s">
        <v>236</v>
      </c>
      <c r="B121" s="32">
        <f t="shared" si="82"/>
        <v>116</v>
      </c>
      <c r="C121" s="10" t="s">
        <v>237</v>
      </c>
      <c r="D121" s="10" t="s">
        <v>238</v>
      </c>
      <c r="E121" s="133">
        <v>600</v>
      </c>
      <c r="F121" s="134">
        <v>1915.76</v>
      </c>
      <c r="G121" s="158">
        <v>1200</v>
      </c>
      <c r="H121" s="158">
        <v>672.6</v>
      </c>
      <c r="I121" s="158">
        <v>800</v>
      </c>
      <c r="J121" s="158">
        <v>675</v>
      </c>
      <c r="K121" s="158">
        <v>700</v>
      </c>
      <c r="L121" s="158">
        <v>1000.8</v>
      </c>
      <c r="M121" s="158">
        <v>700</v>
      </c>
      <c r="N121" s="158">
        <v>1000</v>
      </c>
      <c r="O121" s="172">
        <v>54.9</v>
      </c>
      <c r="P121" s="172">
        <v>109.8</v>
      </c>
      <c r="Q121" s="172">
        <v>164.7</v>
      </c>
      <c r="R121" s="172">
        <v>315.58</v>
      </c>
      <c r="S121" s="172">
        <v>388.68</v>
      </c>
      <c r="T121" s="172">
        <v>443.58</v>
      </c>
      <c r="U121" s="172">
        <v>498.48</v>
      </c>
      <c r="V121" s="172">
        <v>553.38</v>
      </c>
      <c r="W121" s="172">
        <v>608.28</v>
      </c>
      <c r="X121" s="474">
        <v>608.28</v>
      </c>
      <c r="Y121" s="503">
        <v>766.08</v>
      </c>
    </row>
    <row r="122" spans="1:25" ht="15" outlineLevel="2">
      <c r="A122" s="46" t="s">
        <v>239</v>
      </c>
      <c r="B122" s="32">
        <f>ROW(B118)</f>
        <v>118</v>
      </c>
      <c r="C122" s="10" t="s">
        <v>240</v>
      </c>
      <c r="D122" s="10" t="s">
        <v>241</v>
      </c>
      <c r="E122" s="133">
        <v>700</v>
      </c>
      <c r="F122" s="134">
        <v>648.78</v>
      </c>
      <c r="G122" s="158">
        <v>800</v>
      </c>
      <c r="H122" s="158">
        <v>691.87</v>
      </c>
      <c r="I122" s="158">
        <v>800</v>
      </c>
      <c r="J122" s="158">
        <v>747.26</v>
      </c>
      <c r="K122" s="158">
        <v>700</v>
      </c>
      <c r="L122" s="158">
        <v>3008.52</v>
      </c>
      <c r="M122" s="158">
        <v>700</v>
      </c>
      <c r="N122" s="158">
        <v>3200</v>
      </c>
      <c r="O122" s="172">
        <v>225.38</v>
      </c>
      <c r="P122" s="172">
        <v>475.9</v>
      </c>
      <c r="Q122" s="172">
        <v>730.82</v>
      </c>
      <c r="R122" s="172">
        <v>962.45</v>
      </c>
      <c r="S122" s="172">
        <v>1217.81</v>
      </c>
      <c r="T122" s="172">
        <v>1526.23</v>
      </c>
      <c r="U122" s="172">
        <v>1789.7</v>
      </c>
      <c r="V122" s="172">
        <v>2041.17</v>
      </c>
      <c r="W122" s="172">
        <v>2301.2800000000002</v>
      </c>
      <c r="X122" s="474">
        <v>2557.9</v>
      </c>
      <c r="Y122" s="503">
        <v>2807.16</v>
      </c>
    </row>
    <row r="123" spans="1:25" ht="15" outlineLevel="2">
      <c r="A123" s="46" t="s">
        <v>242</v>
      </c>
      <c r="B123" s="32">
        <f>ROW(B119)</f>
        <v>119</v>
      </c>
      <c r="C123" s="10" t="s">
        <v>243</v>
      </c>
      <c r="D123" s="12" t="s">
        <v>244</v>
      </c>
      <c r="E123" s="133">
        <v>3500</v>
      </c>
      <c r="F123" s="134">
        <v>2552.9699999999998</v>
      </c>
      <c r="G123" s="158">
        <v>480</v>
      </c>
      <c r="H123" s="158">
        <v>3744.7</v>
      </c>
      <c r="I123" s="158">
        <v>5300</v>
      </c>
      <c r="J123" s="158">
        <v>4126.5</v>
      </c>
      <c r="K123" s="158">
        <v>10000</v>
      </c>
      <c r="L123" s="158">
        <v>4619.9799999999996</v>
      </c>
      <c r="M123" s="158">
        <v>10000</v>
      </c>
      <c r="N123" s="158">
        <v>3500</v>
      </c>
      <c r="O123" s="172">
        <v>101.47</v>
      </c>
      <c r="P123" s="172">
        <v>320.75</v>
      </c>
      <c r="Q123" s="172">
        <v>540.03</v>
      </c>
      <c r="R123" s="172">
        <v>641.5</v>
      </c>
      <c r="S123" s="172">
        <v>978.59</v>
      </c>
      <c r="T123" s="172">
        <v>1197.8699999999999</v>
      </c>
      <c r="U123" s="172">
        <v>1373.61</v>
      </c>
      <c r="V123" s="172">
        <v>1694.36</v>
      </c>
      <c r="W123" s="172">
        <v>2093.5500000000002</v>
      </c>
      <c r="X123" s="474">
        <v>2448.5500000000002</v>
      </c>
      <c r="Y123" s="503">
        <v>2785.64</v>
      </c>
    </row>
    <row r="124" spans="1:25" ht="15" outlineLevel="2">
      <c r="A124" s="46" t="s">
        <v>245</v>
      </c>
      <c r="B124" s="32">
        <f>ROW(B120)</f>
        <v>120</v>
      </c>
      <c r="C124" s="10" t="s">
        <v>246</v>
      </c>
      <c r="D124" s="10" t="s">
        <v>247</v>
      </c>
      <c r="E124" s="133">
        <v>100</v>
      </c>
      <c r="F124" s="134">
        <v>0</v>
      </c>
      <c r="G124" s="158">
        <v>100</v>
      </c>
      <c r="H124" s="158">
        <v>111.45</v>
      </c>
      <c r="I124" s="158">
        <v>300</v>
      </c>
      <c r="J124" s="158">
        <v>172.25</v>
      </c>
      <c r="K124" s="158">
        <v>300</v>
      </c>
      <c r="L124" s="158">
        <v>21.55</v>
      </c>
      <c r="M124" s="158">
        <v>300</v>
      </c>
      <c r="N124" s="158">
        <v>250</v>
      </c>
      <c r="O124" s="172">
        <v>0</v>
      </c>
      <c r="P124" s="172">
        <v>0</v>
      </c>
      <c r="Q124" s="172">
        <v>0</v>
      </c>
      <c r="R124" s="172">
        <v>0</v>
      </c>
      <c r="S124" s="172">
        <v>0</v>
      </c>
      <c r="T124" s="172">
        <v>0</v>
      </c>
      <c r="U124" s="172">
        <v>0</v>
      </c>
      <c r="V124" s="172">
        <v>0</v>
      </c>
      <c r="W124" s="172">
        <v>0</v>
      </c>
      <c r="X124" s="474">
        <v>21.9</v>
      </c>
      <c r="Y124" s="503">
        <v>21.9</v>
      </c>
    </row>
    <row r="125" spans="1:25" ht="15" outlineLevel="2">
      <c r="A125" s="46" t="s">
        <v>248</v>
      </c>
      <c r="B125" s="32">
        <f>ROW(B121)</f>
        <v>121</v>
      </c>
      <c r="C125" s="10" t="s">
        <v>249</v>
      </c>
      <c r="D125" s="12" t="s">
        <v>250</v>
      </c>
      <c r="E125" s="136">
        <v>6100</v>
      </c>
      <c r="F125" s="137">
        <v>6482.42</v>
      </c>
      <c r="G125" s="159">
        <v>7950</v>
      </c>
      <c r="H125" s="159">
        <v>6167.58</v>
      </c>
      <c r="I125" s="159">
        <v>7450</v>
      </c>
      <c r="J125" s="159">
        <v>6901.9139999999998</v>
      </c>
      <c r="K125" s="159">
        <v>7450</v>
      </c>
      <c r="L125" s="159">
        <v>6454.15</v>
      </c>
      <c r="M125" s="159">
        <v>7450</v>
      </c>
      <c r="N125" s="159">
        <v>7500</v>
      </c>
      <c r="O125" s="172">
        <v>487.86</v>
      </c>
      <c r="P125" s="172">
        <v>987.6</v>
      </c>
      <c r="Q125" s="172">
        <v>1475.46</v>
      </c>
      <c r="R125" s="172">
        <v>1963.32</v>
      </c>
      <c r="S125" s="172">
        <v>2451.1799999999998</v>
      </c>
      <c r="T125" s="172">
        <v>2941.7</v>
      </c>
      <c r="U125" s="172">
        <v>2992.98</v>
      </c>
      <c r="V125" s="172">
        <v>3922.74</v>
      </c>
      <c r="W125" s="172">
        <v>4425.1400000000003</v>
      </c>
      <c r="X125" s="474">
        <v>4864.38</v>
      </c>
      <c r="Y125" s="503">
        <v>5386.02</v>
      </c>
    </row>
    <row r="126" spans="1:25" ht="15" outlineLevel="1">
      <c r="B126" s="29" t="e">
        <f>ROW(#REF!)</f>
        <v>#REF!</v>
      </c>
      <c r="H126" s="13"/>
      <c r="O126" s="13"/>
      <c r="P126" s="13"/>
      <c r="Q126" s="168"/>
      <c r="R126" s="168"/>
      <c r="S126" s="168"/>
      <c r="T126" s="168"/>
      <c r="U126" s="168"/>
      <c r="V126" s="168"/>
      <c r="W126" s="168"/>
      <c r="X126" s="469"/>
      <c r="Y126" s="498"/>
    </row>
    <row r="127" spans="1:25" ht="15" outlineLevel="1">
      <c r="A127" s="45" t="s">
        <v>251</v>
      </c>
      <c r="B127" s="31">
        <f t="shared" si="82"/>
        <v>122</v>
      </c>
      <c r="C127" s="9"/>
      <c r="D127" s="9" t="s">
        <v>252</v>
      </c>
      <c r="E127" s="138">
        <f t="shared" ref="E127:O127" si="152">SUBTOTAL(9,E128:E130)</f>
        <v>1700</v>
      </c>
      <c r="F127" s="139">
        <f t="shared" si="152"/>
        <v>2179.1</v>
      </c>
      <c r="G127" s="160">
        <f t="shared" si="152"/>
        <v>13000</v>
      </c>
      <c r="H127" s="160">
        <f t="shared" si="152"/>
        <v>2771.96</v>
      </c>
      <c r="I127" s="160">
        <v>14000</v>
      </c>
      <c r="J127" s="160">
        <v>13061.770000000002</v>
      </c>
      <c r="K127" s="160">
        <f t="shared" si="152"/>
        <v>31000</v>
      </c>
      <c r="L127" s="160">
        <v>8515.2099999999991</v>
      </c>
      <c r="M127" s="160">
        <v>31000</v>
      </c>
      <c r="N127" s="160">
        <f>SUBTOTAL(9,N128:N130)</f>
        <v>6500</v>
      </c>
      <c r="O127" s="171">
        <f t="shared" si="152"/>
        <v>15.78</v>
      </c>
      <c r="P127" s="171">
        <f t="shared" ref="P127" si="153">SUBTOTAL(9,P128:P130)</f>
        <v>15.78</v>
      </c>
      <c r="Q127" s="171">
        <f t="shared" ref="Q127:R127" si="154">SUBTOTAL(9,Q128:Q130)</f>
        <v>15.78</v>
      </c>
      <c r="R127" s="171">
        <f t="shared" si="154"/>
        <v>15.78</v>
      </c>
      <c r="S127" s="171">
        <f t="shared" ref="S127:T127" si="155">SUBTOTAL(9,S128:S130)</f>
        <v>15.78</v>
      </c>
      <c r="T127" s="171">
        <f t="shared" si="155"/>
        <v>15.78</v>
      </c>
      <c r="U127" s="171">
        <f t="shared" ref="U127" si="156">SUBTOTAL(9,U128:U130)</f>
        <v>15.78</v>
      </c>
      <c r="V127" s="171">
        <f t="shared" ref="V127:W127" si="157">SUBTOTAL(9,V128:V130)</f>
        <v>334.52</v>
      </c>
      <c r="W127" s="171">
        <f t="shared" si="157"/>
        <v>334.52</v>
      </c>
      <c r="X127" s="473">
        <v>527.41999999999996</v>
      </c>
      <c r="Y127" s="502">
        <v>707.87</v>
      </c>
    </row>
    <row r="128" spans="1:25" ht="15" outlineLevel="2">
      <c r="A128" s="46" t="s">
        <v>253</v>
      </c>
      <c r="B128" s="32">
        <f t="shared" ref="B128:B182" si="158">ROW(B123)</f>
        <v>123</v>
      </c>
      <c r="C128" s="10" t="s">
        <v>254</v>
      </c>
      <c r="D128" s="12" t="s">
        <v>255</v>
      </c>
      <c r="E128" s="133">
        <v>700</v>
      </c>
      <c r="F128" s="134">
        <v>0</v>
      </c>
      <c r="G128" s="158">
        <v>7000</v>
      </c>
      <c r="H128" s="158">
        <v>0</v>
      </c>
      <c r="I128" s="158">
        <v>8000</v>
      </c>
      <c r="J128" s="158">
        <v>9381.8100000000013</v>
      </c>
      <c r="K128" s="158">
        <v>15000</v>
      </c>
      <c r="L128" s="158">
        <v>2506.7199999999998</v>
      </c>
      <c r="M128" s="158">
        <v>15000</v>
      </c>
      <c r="N128" s="158">
        <v>3000</v>
      </c>
      <c r="O128" s="172">
        <v>0</v>
      </c>
      <c r="P128" s="172">
        <v>0</v>
      </c>
      <c r="Q128" s="172">
        <v>0</v>
      </c>
      <c r="R128" s="172">
        <v>0</v>
      </c>
      <c r="S128" s="172">
        <v>0</v>
      </c>
      <c r="T128" s="172">
        <v>0</v>
      </c>
      <c r="U128" s="172">
        <v>0</v>
      </c>
      <c r="V128" s="172">
        <v>207.36</v>
      </c>
      <c r="W128" s="172">
        <v>207.36</v>
      </c>
      <c r="X128" s="474">
        <v>207.36</v>
      </c>
      <c r="Y128" s="503">
        <v>207.36</v>
      </c>
    </row>
    <row r="129" spans="1:25" ht="15" outlineLevel="2">
      <c r="A129" s="46" t="s">
        <v>256</v>
      </c>
      <c r="B129" s="32">
        <f t="shared" si="158"/>
        <v>124</v>
      </c>
      <c r="C129" s="10" t="s">
        <v>257</v>
      </c>
      <c r="D129" s="12" t="s">
        <v>258</v>
      </c>
      <c r="E129" s="133">
        <v>500</v>
      </c>
      <c r="F129" s="134">
        <v>2053.25</v>
      </c>
      <c r="G129" s="158">
        <v>5500</v>
      </c>
      <c r="H129" s="158">
        <v>2562.21</v>
      </c>
      <c r="I129" s="158">
        <v>5500</v>
      </c>
      <c r="J129" s="158">
        <v>1020.6</v>
      </c>
      <c r="K129" s="158">
        <v>12000</v>
      </c>
      <c r="L129" s="158">
        <v>5630.17</v>
      </c>
      <c r="M129" s="158">
        <v>12000</v>
      </c>
      <c r="N129" s="158">
        <v>1500</v>
      </c>
      <c r="O129" s="172">
        <v>15.78</v>
      </c>
      <c r="P129" s="172">
        <v>15.78</v>
      </c>
      <c r="Q129" s="172">
        <v>15.78</v>
      </c>
      <c r="R129" s="172">
        <v>15.78</v>
      </c>
      <c r="S129" s="172">
        <v>15.78</v>
      </c>
      <c r="T129" s="172">
        <v>15.78</v>
      </c>
      <c r="U129" s="172">
        <v>15.78</v>
      </c>
      <c r="V129" s="172">
        <v>127.16</v>
      </c>
      <c r="W129" s="172">
        <v>127.16</v>
      </c>
      <c r="X129" s="474">
        <v>320.06</v>
      </c>
      <c r="Y129" s="503">
        <v>500.51</v>
      </c>
    </row>
    <row r="130" spans="1:25" ht="15" outlineLevel="2">
      <c r="A130" s="46" t="s">
        <v>259</v>
      </c>
      <c r="B130" s="32">
        <f>ROW(B126)</f>
        <v>126</v>
      </c>
      <c r="C130" s="10" t="s">
        <v>260</v>
      </c>
      <c r="D130" s="12" t="s">
        <v>261</v>
      </c>
      <c r="E130" s="136">
        <v>500</v>
      </c>
      <c r="F130" s="137">
        <v>125.85</v>
      </c>
      <c r="G130" s="159">
        <v>500</v>
      </c>
      <c r="H130" s="159">
        <v>209.75</v>
      </c>
      <c r="I130" s="159">
        <v>500</v>
      </c>
      <c r="J130" s="159">
        <v>2659.36</v>
      </c>
      <c r="K130" s="159">
        <v>4000</v>
      </c>
      <c r="L130" s="159">
        <v>378.32</v>
      </c>
      <c r="M130" s="159">
        <v>4000</v>
      </c>
      <c r="N130" s="159">
        <v>2000</v>
      </c>
      <c r="O130" s="172">
        <v>0</v>
      </c>
      <c r="P130" s="172">
        <v>0</v>
      </c>
      <c r="Q130" s="172">
        <v>0</v>
      </c>
      <c r="R130" s="172">
        <v>0</v>
      </c>
      <c r="S130" s="172">
        <v>0</v>
      </c>
      <c r="T130" s="172">
        <v>0</v>
      </c>
      <c r="U130" s="172">
        <v>0</v>
      </c>
      <c r="V130" s="172">
        <v>0</v>
      </c>
      <c r="W130" s="172">
        <v>0</v>
      </c>
      <c r="X130" s="474">
        <v>0</v>
      </c>
      <c r="Y130" s="503">
        <v>0</v>
      </c>
    </row>
    <row r="131" spans="1:25" ht="15" outlineLevel="1">
      <c r="B131" s="29" t="e">
        <f>ROW(#REF!)</f>
        <v>#REF!</v>
      </c>
      <c r="H131" s="13"/>
      <c r="O131" s="13"/>
      <c r="P131" s="13"/>
      <c r="Q131" s="168"/>
      <c r="R131" s="168"/>
      <c r="S131" s="168"/>
      <c r="T131" s="168"/>
      <c r="U131" s="168"/>
      <c r="V131" s="168"/>
      <c r="W131" s="168"/>
      <c r="X131" s="469"/>
      <c r="Y131" s="498"/>
    </row>
    <row r="132" spans="1:25" ht="15" outlineLevel="1">
      <c r="A132" s="45" t="s">
        <v>262</v>
      </c>
      <c r="B132" s="31" t="e">
        <f>ROW(#REF!)</f>
        <v>#REF!</v>
      </c>
      <c r="C132" s="9"/>
      <c r="D132" s="9" t="s">
        <v>263</v>
      </c>
      <c r="E132" s="138">
        <v>82900</v>
      </c>
      <c r="F132" s="139">
        <v>27831.1</v>
      </c>
      <c r="G132" s="160">
        <v>82770</v>
      </c>
      <c r="H132" s="160">
        <v>34570.870000000003</v>
      </c>
      <c r="I132" s="160">
        <f t="shared" ref="I132:O132" si="159">SUBTOTAL(9,I133:I142)</f>
        <v>112000</v>
      </c>
      <c r="J132" s="160">
        <v>48138.119999999995</v>
      </c>
      <c r="K132" s="160">
        <f t="shared" si="159"/>
        <v>88000</v>
      </c>
      <c r="L132" s="160">
        <v>43921.88</v>
      </c>
      <c r="M132" s="160">
        <v>88000</v>
      </c>
      <c r="N132" s="160">
        <f>SUBTOTAL(9,N133:N142)</f>
        <v>76000</v>
      </c>
      <c r="O132" s="171">
        <f t="shared" si="159"/>
        <v>7213.6399999999994</v>
      </c>
      <c r="P132" s="171">
        <f t="shared" ref="P132:Q132" si="160">SUBTOTAL(9,P133:P142)</f>
        <v>13035.93</v>
      </c>
      <c r="Q132" s="171">
        <f t="shared" si="160"/>
        <v>14440.240000000002</v>
      </c>
      <c r="R132" s="171">
        <f t="shared" ref="R132:T132" si="161">SUBTOTAL(9,R133:R142)</f>
        <v>19965.399999999998</v>
      </c>
      <c r="S132" s="171">
        <f t="shared" si="161"/>
        <v>24838.219999999998</v>
      </c>
      <c r="T132" s="171">
        <f t="shared" si="161"/>
        <v>26049.72</v>
      </c>
      <c r="U132" s="171">
        <f t="shared" ref="U132" si="162">SUBTOTAL(9,U133:U142)</f>
        <v>32829.93</v>
      </c>
      <c r="V132" s="171">
        <f t="shared" ref="V132:W132" si="163">SUBTOTAL(9,V133:V142)</f>
        <v>41021.96</v>
      </c>
      <c r="W132" s="171">
        <f t="shared" si="163"/>
        <v>44130.080000000002</v>
      </c>
      <c r="X132" s="473">
        <v>47798.04</v>
      </c>
      <c r="Y132" s="502">
        <v>54375.22</v>
      </c>
    </row>
    <row r="133" spans="1:25" ht="15" outlineLevel="2">
      <c r="A133" s="46" t="s">
        <v>264</v>
      </c>
      <c r="B133" s="32" t="e">
        <f>ROW(#REF!)</f>
        <v>#REF!</v>
      </c>
      <c r="C133" s="10" t="s">
        <v>265</v>
      </c>
      <c r="D133" s="10" t="s">
        <v>266</v>
      </c>
      <c r="E133" s="133">
        <v>1600</v>
      </c>
      <c r="F133" s="134">
        <v>296</v>
      </c>
      <c r="G133" s="158">
        <v>2000</v>
      </c>
      <c r="H133" s="158">
        <v>2183.1999999999998</v>
      </c>
      <c r="I133" s="158">
        <v>4000</v>
      </c>
      <c r="J133" s="158">
        <v>5689.14</v>
      </c>
      <c r="K133" s="158">
        <v>7000</v>
      </c>
      <c r="L133" s="158">
        <v>2716.19</v>
      </c>
      <c r="M133" s="158">
        <v>7000</v>
      </c>
      <c r="N133" s="158">
        <v>5000</v>
      </c>
      <c r="O133" s="172">
        <f>233.4+42</f>
        <v>275.39999999999998</v>
      </c>
      <c r="P133" s="172">
        <f>446.1+60</f>
        <v>506.1</v>
      </c>
      <c r="Q133" s="172">
        <f>180.82+78</f>
        <v>258.82</v>
      </c>
      <c r="R133" s="172">
        <f>586.46+156</f>
        <v>742.46</v>
      </c>
      <c r="S133" s="172">
        <f>656.66+222</f>
        <v>878.66</v>
      </c>
      <c r="T133" s="172">
        <f>734.66+240</f>
        <v>974.66</v>
      </c>
      <c r="U133" s="172">
        <f>734.66+264</f>
        <v>998.66</v>
      </c>
      <c r="V133" s="172">
        <f>1278.32+318</f>
        <v>1596.32</v>
      </c>
      <c r="W133" s="172">
        <f>1428.22+396</f>
        <v>1824.22</v>
      </c>
      <c r="X133" s="474">
        <v>1824.22</v>
      </c>
      <c r="Y133" s="503">
        <v>2392.87</v>
      </c>
    </row>
    <row r="134" spans="1:25" ht="15" outlineLevel="2">
      <c r="A134" s="46" t="s">
        <v>267</v>
      </c>
      <c r="B134" s="32" t="e">
        <f>ROW(#REF!)</f>
        <v>#REF!</v>
      </c>
      <c r="C134" s="10" t="s">
        <v>268</v>
      </c>
      <c r="D134" s="10" t="s">
        <v>269</v>
      </c>
      <c r="E134" s="133">
        <v>32500</v>
      </c>
      <c r="F134" s="134">
        <v>10222.02</v>
      </c>
      <c r="G134" s="158">
        <v>30000</v>
      </c>
      <c r="H134" s="158">
        <v>16080.25</v>
      </c>
      <c r="I134" s="158">
        <v>32000</v>
      </c>
      <c r="J134" s="158">
        <v>17876.060000000001</v>
      </c>
      <c r="K134" s="158">
        <v>32000</v>
      </c>
      <c r="L134" s="158">
        <v>16738.91</v>
      </c>
      <c r="M134" s="158">
        <v>32000</v>
      </c>
      <c r="N134" s="158">
        <v>25000</v>
      </c>
      <c r="O134" s="172">
        <f>3531.49+637.59</f>
        <v>4169.08</v>
      </c>
      <c r="P134" s="172">
        <f>5087.12+1063.59</f>
        <v>6150.71</v>
      </c>
      <c r="Q134" s="172">
        <f>5925.34+1153.59</f>
        <v>7078.93</v>
      </c>
      <c r="R134" s="172">
        <f>8533.68+1369.59</f>
        <v>9903.27</v>
      </c>
      <c r="S134" s="172">
        <f>9608.31+1465.59</f>
        <v>11073.9</v>
      </c>
      <c r="T134" s="172">
        <f>10065.04+1507.59</f>
        <v>11572.630000000001</v>
      </c>
      <c r="U134" s="172">
        <f>11541.09+1693.59</f>
        <v>13234.68</v>
      </c>
      <c r="V134" s="172">
        <f>12961.75+1831.59</f>
        <v>14793.34</v>
      </c>
      <c r="W134" s="172">
        <f>13824+1968.39</f>
        <v>15792.39</v>
      </c>
      <c r="X134" s="474">
        <v>18196.939999999999</v>
      </c>
      <c r="Y134" s="503">
        <v>19868.22</v>
      </c>
    </row>
    <row r="135" spans="1:25" ht="15" outlineLevel="2">
      <c r="A135" s="46" t="s">
        <v>270</v>
      </c>
      <c r="B135" s="32" t="e">
        <f>ROW(#REF!)</f>
        <v>#REF!</v>
      </c>
      <c r="C135" s="10" t="s">
        <v>271</v>
      </c>
      <c r="D135" s="12" t="s">
        <v>272</v>
      </c>
      <c r="E135" s="133">
        <v>17800</v>
      </c>
      <c r="F135" s="134">
        <v>3686.11</v>
      </c>
      <c r="G135" s="158">
        <v>16800</v>
      </c>
      <c r="H135" s="158">
        <v>6216.53</v>
      </c>
      <c r="I135" s="158">
        <v>26000</v>
      </c>
      <c r="J135" s="158">
        <v>10453.69</v>
      </c>
      <c r="K135" s="158">
        <v>20000</v>
      </c>
      <c r="L135" s="158">
        <v>14975.61</v>
      </c>
      <c r="M135" s="158">
        <v>20000</v>
      </c>
      <c r="N135" s="158">
        <v>20000</v>
      </c>
      <c r="O135" s="172">
        <f>1845.36+300</f>
        <v>2145.3599999999997</v>
      </c>
      <c r="P135" s="172">
        <f>2406.06+426</f>
        <v>2832.06</v>
      </c>
      <c r="Q135" s="172">
        <f>2539.35+444</f>
        <v>2983.35</v>
      </c>
      <c r="R135" s="172">
        <f>3832.64+690</f>
        <v>4522.6399999999994</v>
      </c>
      <c r="S135" s="172">
        <f>6361.7+1044</f>
        <v>7405.7</v>
      </c>
      <c r="T135" s="172">
        <f>6606.03+1044</f>
        <v>7650.03</v>
      </c>
      <c r="U135" s="172">
        <f>8489.44+1362</f>
        <v>9851.44</v>
      </c>
      <c r="V135" s="172">
        <f>11530.32+1710</f>
        <v>13240.32</v>
      </c>
      <c r="W135" s="172">
        <f>12461.82+1866</f>
        <v>14327.82</v>
      </c>
      <c r="X135" s="474">
        <v>15336.23</v>
      </c>
      <c r="Y135" s="503">
        <v>17548.18</v>
      </c>
    </row>
    <row r="136" spans="1:25" ht="15" outlineLevel="2">
      <c r="A136" s="46" t="s">
        <v>273</v>
      </c>
      <c r="B136" s="32">
        <f t="shared" si="158"/>
        <v>131</v>
      </c>
      <c r="C136" s="10"/>
      <c r="D136" s="10" t="s">
        <v>274</v>
      </c>
      <c r="E136" s="142">
        <v>28500</v>
      </c>
      <c r="F136" s="114">
        <v>12015.11</v>
      </c>
      <c r="G136" s="161">
        <v>30970</v>
      </c>
      <c r="H136" s="161">
        <v>9641.39</v>
      </c>
      <c r="I136" s="161">
        <f t="shared" ref="I136:T136" si="164">SUBTOTAL(9,I137:I141)</f>
        <v>45000</v>
      </c>
      <c r="J136" s="161">
        <v>13357.13</v>
      </c>
      <c r="K136" s="161">
        <f t="shared" si="164"/>
        <v>27000</v>
      </c>
      <c r="L136" s="161">
        <v>8272.9700000000012</v>
      </c>
      <c r="M136" s="161">
        <v>27000</v>
      </c>
      <c r="N136" s="161">
        <f>SUBTOTAL(9,N137:N141)</f>
        <v>23000</v>
      </c>
      <c r="O136" s="175">
        <f t="shared" si="164"/>
        <v>623.79999999999995</v>
      </c>
      <c r="P136" s="175">
        <f t="shared" si="164"/>
        <v>3547.06</v>
      </c>
      <c r="Q136" s="175">
        <f t="shared" si="164"/>
        <v>4119.1400000000003</v>
      </c>
      <c r="R136" s="175">
        <f t="shared" si="164"/>
        <v>4797.03</v>
      </c>
      <c r="S136" s="175">
        <f t="shared" si="164"/>
        <v>5479.96</v>
      </c>
      <c r="T136" s="175">
        <f t="shared" si="164"/>
        <v>5852.4</v>
      </c>
      <c r="U136" s="175">
        <f t="shared" ref="U136" si="165">SUBTOTAL(9,U137:U141)</f>
        <v>8745.1500000000015</v>
      </c>
      <c r="V136" s="175">
        <f t="shared" ref="V136:W136" si="166">SUBTOTAL(9,V137:V141)</f>
        <v>11391.98</v>
      </c>
      <c r="W136" s="175">
        <f t="shared" si="166"/>
        <v>12185.65</v>
      </c>
      <c r="X136" s="477">
        <v>12440.65</v>
      </c>
      <c r="Y136" s="506">
        <v>13463.45</v>
      </c>
    </row>
    <row r="137" spans="1:25" ht="15" outlineLevel="3">
      <c r="A137" s="47" t="s">
        <v>275</v>
      </c>
      <c r="B137" s="33">
        <f t="shared" si="158"/>
        <v>132</v>
      </c>
      <c r="C137" s="10" t="s">
        <v>276</v>
      </c>
      <c r="D137" s="12" t="s">
        <v>88</v>
      </c>
      <c r="E137" s="133">
        <f>[1]WiWi!G12</f>
        <v>14000</v>
      </c>
      <c r="F137" s="134">
        <v>8591.16</v>
      </c>
      <c r="G137" s="158">
        <f>[1]WiWi!E12</f>
        <v>15000</v>
      </c>
      <c r="H137" s="158">
        <v>4457.1000000000004</v>
      </c>
      <c r="I137" s="158">
        <v>15000</v>
      </c>
      <c r="J137" s="158">
        <v>9623.41</v>
      </c>
      <c r="K137" s="158">
        <v>14000</v>
      </c>
      <c r="L137" s="158">
        <v>6469.75</v>
      </c>
      <c r="M137" s="158">
        <v>14000</v>
      </c>
      <c r="N137" s="158">
        <v>10000</v>
      </c>
      <c r="O137" s="172">
        <f>352+24</f>
        <v>376</v>
      </c>
      <c r="P137" s="172">
        <f>1340.31+270</f>
        <v>1610.31</v>
      </c>
      <c r="Q137" s="172">
        <f>1888.39+282</f>
        <v>2170.3900000000003</v>
      </c>
      <c r="R137" s="172">
        <f>2267.08+384</f>
        <v>2651.08</v>
      </c>
      <c r="S137" s="172">
        <f>2267.08+384</f>
        <v>2651.08</v>
      </c>
      <c r="T137" s="172">
        <f>2267.08+384</f>
        <v>2651.08</v>
      </c>
      <c r="U137" s="172">
        <f>3126.83+450</f>
        <v>3576.83</v>
      </c>
      <c r="V137" s="172">
        <f>4382.26+582</f>
        <v>4964.26</v>
      </c>
      <c r="W137" s="172">
        <f>4723.66+606</f>
        <v>5329.66</v>
      </c>
      <c r="X137" s="474">
        <v>5329.66</v>
      </c>
      <c r="Y137" s="503">
        <v>5341.66</v>
      </c>
    </row>
    <row r="138" spans="1:25" ht="15" outlineLevel="3">
      <c r="A138" s="47" t="s">
        <v>277</v>
      </c>
      <c r="B138" s="33">
        <f t="shared" si="158"/>
        <v>133</v>
      </c>
      <c r="C138" s="10" t="s">
        <v>278</v>
      </c>
      <c r="D138" s="12" t="s">
        <v>90</v>
      </c>
      <c r="E138" s="133">
        <v>1000</v>
      </c>
      <c r="F138" s="134">
        <v>501.44</v>
      </c>
      <c r="G138" s="158">
        <v>3570</v>
      </c>
      <c r="H138" s="158">
        <v>995.33</v>
      </c>
      <c r="I138" s="158">
        <v>6000</v>
      </c>
      <c r="J138" s="158">
        <v>130.43</v>
      </c>
      <c r="K138" s="158">
        <v>2000</v>
      </c>
      <c r="L138" s="158">
        <v>281.26</v>
      </c>
      <c r="M138" s="158">
        <v>2000</v>
      </c>
      <c r="N138" s="158">
        <v>1000</v>
      </c>
      <c r="O138" s="172">
        <v>0</v>
      </c>
      <c r="P138" s="172">
        <v>0</v>
      </c>
      <c r="Q138" s="172">
        <v>12</v>
      </c>
      <c r="R138" s="172">
        <v>12</v>
      </c>
      <c r="S138" s="172">
        <v>12</v>
      </c>
      <c r="T138" s="172">
        <f>45+18</f>
        <v>63</v>
      </c>
      <c r="U138" s="172">
        <f>45+18</f>
        <v>63</v>
      </c>
      <c r="V138" s="172">
        <f>45+18</f>
        <v>63</v>
      </c>
      <c r="W138" s="172">
        <f>73.8+18</f>
        <v>91.8</v>
      </c>
      <c r="X138" s="474">
        <v>91.8</v>
      </c>
      <c r="Y138" s="503">
        <v>150.30000000000001</v>
      </c>
    </row>
    <row r="139" spans="1:25" ht="15" outlineLevel="3">
      <c r="A139" s="47" t="s">
        <v>279</v>
      </c>
      <c r="B139" s="33">
        <f t="shared" si="158"/>
        <v>134</v>
      </c>
      <c r="C139" s="10" t="s">
        <v>280</v>
      </c>
      <c r="D139" s="12" t="s">
        <v>93</v>
      </c>
      <c r="E139" s="133">
        <v>1500</v>
      </c>
      <c r="F139" s="134">
        <v>897.76</v>
      </c>
      <c r="G139" s="158">
        <v>2600</v>
      </c>
      <c r="H139" s="158">
        <v>1081.3800000000001</v>
      </c>
      <c r="I139" s="158">
        <v>6000</v>
      </c>
      <c r="J139" s="158">
        <v>705.42</v>
      </c>
      <c r="K139" s="158">
        <v>2000</v>
      </c>
      <c r="L139" s="158">
        <v>0</v>
      </c>
      <c r="M139" s="158">
        <v>2000</v>
      </c>
      <c r="N139" s="158">
        <v>2000</v>
      </c>
      <c r="O139" s="172">
        <v>0</v>
      </c>
      <c r="P139" s="172">
        <v>0</v>
      </c>
      <c r="Q139" s="172">
        <v>0</v>
      </c>
      <c r="R139" s="172">
        <v>0</v>
      </c>
      <c r="S139" s="172">
        <v>0</v>
      </c>
      <c r="T139" s="172">
        <f>157.44</f>
        <v>157.44</v>
      </c>
      <c r="U139" s="172">
        <f>767.84+144</f>
        <v>911.84</v>
      </c>
      <c r="V139" s="172">
        <f>767.84+144</f>
        <v>911.84</v>
      </c>
      <c r="W139" s="172">
        <f>792.21+168</f>
        <v>960.21</v>
      </c>
      <c r="X139" s="474">
        <v>960.21</v>
      </c>
      <c r="Y139" s="503">
        <v>960.21</v>
      </c>
    </row>
    <row r="140" spans="1:25" ht="15" outlineLevel="3">
      <c r="A140" s="47" t="s">
        <v>281</v>
      </c>
      <c r="B140" s="33">
        <f t="shared" si="158"/>
        <v>135</v>
      </c>
      <c r="C140" s="10" t="s">
        <v>282</v>
      </c>
      <c r="D140" s="12" t="s">
        <v>96</v>
      </c>
      <c r="E140" s="133">
        <v>8000</v>
      </c>
      <c r="F140" s="134">
        <v>1852.7</v>
      </c>
      <c r="G140" s="158">
        <v>7800</v>
      </c>
      <c r="H140" s="158">
        <v>2926.88</v>
      </c>
      <c r="I140" s="158">
        <v>12000</v>
      </c>
      <c r="J140" s="158">
        <v>2269.2400000000002</v>
      </c>
      <c r="K140" s="158">
        <v>6000</v>
      </c>
      <c r="L140" s="158">
        <v>1401.96</v>
      </c>
      <c r="M140" s="158">
        <v>6000</v>
      </c>
      <c r="N140" s="158">
        <v>8000</v>
      </c>
      <c r="O140" s="172">
        <f>223.8+24</f>
        <v>247.8</v>
      </c>
      <c r="P140" s="172">
        <f>1690.75+246</f>
        <v>1936.75</v>
      </c>
      <c r="Q140" s="172">
        <f>1690.75+246</f>
        <v>1936.75</v>
      </c>
      <c r="R140" s="172">
        <f>1808.95+264</f>
        <v>2072.9499999999998</v>
      </c>
      <c r="S140" s="172">
        <f>2065.45+282</f>
        <v>2347.4499999999998</v>
      </c>
      <c r="T140" s="172">
        <f>2229.45+282</f>
        <v>2511.4499999999998</v>
      </c>
      <c r="U140" s="172">
        <f>3340.05+384</f>
        <v>3724.05</v>
      </c>
      <c r="V140" s="172">
        <f>4192.15+462</f>
        <v>4654.1499999999996</v>
      </c>
      <c r="W140" s="172">
        <f>4192.15+522</f>
        <v>4714.1499999999996</v>
      </c>
      <c r="X140" s="474">
        <v>4714.1499999999996</v>
      </c>
      <c r="Y140" s="503">
        <v>5666.45</v>
      </c>
    </row>
    <row r="141" spans="1:25" ht="15" outlineLevel="3">
      <c r="A141" s="47" t="s">
        <v>283</v>
      </c>
      <c r="B141" s="33">
        <f t="shared" si="158"/>
        <v>136</v>
      </c>
      <c r="C141" s="10" t="s">
        <v>284</v>
      </c>
      <c r="D141" s="12" t="s">
        <v>98</v>
      </c>
      <c r="E141" s="133">
        <v>4000</v>
      </c>
      <c r="F141" s="134">
        <v>172.05</v>
      </c>
      <c r="G141" s="158">
        <v>2000</v>
      </c>
      <c r="H141" s="158">
        <v>180.7</v>
      </c>
      <c r="I141" s="158">
        <v>6000</v>
      </c>
      <c r="J141" s="158">
        <v>628.63</v>
      </c>
      <c r="K141" s="158">
        <v>3000</v>
      </c>
      <c r="L141" s="158">
        <v>120</v>
      </c>
      <c r="M141" s="158">
        <v>3000</v>
      </c>
      <c r="N141" s="158">
        <v>2000</v>
      </c>
      <c r="O141" s="172">
        <v>0</v>
      </c>
      <c r="P141" s="172">
        <v>0</v>
      </c>
      <c r="Q141" s="172">
        <v>0</v>
      </c>
      <c r="R141" s="172">
        <v>61</v>
      </c>
      <c r="S141" s="172">
        <f>373.43+96</f>
        <v>469.43</v>
      </c>
      <c r="T141" s="172">
        <f>373.43+96</f>
        <v>469.43</v>
      </c>
      <c r="U141" s="172">
        <f>373.43+96</f>
        <v>469.43</v>
      </c>
      <c r="V141" s="172">
        <f>654.73+144</f>
        <v>798.73</v>
      </c>
      <c r="W141" s="172">
        <f>939.83+150</f>
        <v>1089.83</v>
      </c>
      <c r="X141" s="474">
        <v>1344.83</v>
      </c>
      <c r="Y141" s="503">
        <v>1344.83</v>
      </c>
    </row>
    <row r="142" spans="1:25" ht="15" outlineLevel="2">
      <c r="A142" s="46" t="s">
        <v>285</v>
      </c>
      <c r="B142" s="32">
        <f t="shared" si="158"/>
        <v>137</v>
      </c>
      <c r="C142" s="10" t="s">
        <v>286</v>
      </c>
      <c r="D142" s="10" t="s">
        <v>287</v>
      </c>
      <c r="E142" s="136">
        <v>2500</v>
      </c>
      <c r="F142" s="137">
        <v>1611.86</v>
      </c>
      <c r="G142" s="159">
        <v>3000</v>
      </c>
      <c r="H142" s="159">
        <v>449.5</v>
      </c>
      <c r="I142" s="159">
        <v>5000</v>
      </c>
      <c r="J142" s="159">
        <v>762.1</v>
      </c>
      <c r="K142" s="159">
        <v>2000</v>
      </c>
      <c r="L142" s="159">
        <v>1218.2</v>
      </c>
      <c r="M142" s="159">
        <v>2000</v>
      </c>
      <c r="N142" s="159">
        <v>3000</v>
      </c>
      <c r="O142" s="172">
        <v>0</v>
      </c>
      <c r="P142" s="172">
        <v>0</v>
      </c>
      <c r="Q142" s="172">
        <v>0</v>
      </c>
      <c r="R142" s="172">
        <v>0</v>
      </c>
      <c r="S142" s="172">
        <v>0</v>
      </c>
      <c r="T142" s="172">
        <v>0</v>
      </c>
      <c r="U142" s="172">
        <v>0</v>
      </c>
      <c r="V142" s="172">
        <v>0</v>
      </c>
      <c r="W142" s="172">
        <v>0</v>
      </c>
      <c r="X142" s="474">
        <v>0</v>
      </c>
      <c r="Y142" s="503">
        <v>1102.5</v>
      </c>
    </row>
    <row r="143" spans="1:25" ht="15" outlineLevel="1">
      <c r="B143" s="29">
        <f t="shared" si="158"/>
        <v>138</v>
      </c>
      <c r="H143" s="13"/>
      <c r="O143" s="13"/>
      <c r="P143" s="13"/>
      <c r="Q143" s="168"/>
      <c r="R143" s="168"/>
      <c r="S143" s="168"/>
      <c r="T143" s="168"/>
      <c r="U143" s="168"/>
      <c r="V143" s="168"/>
      <c r="W143" s="168"/>
      <c r="X143" s="469"/>
      <c r="Y143" s="498"/>
    </row>
    <row r="144" spans="1:25" ht="15" outlineLevel="1">
      <c r="A144" s="45" t="s">
        <v>288</v>
      </c>
      <c r="B144" s="31">
        <f t="shared" si="158"/>
        <v>139</v>
      </c>
      <c r="C144" s="9"/>
      <c r="D144" s="9" t="s">
        <v>289</v>
      </c>
      <c r="E144" s="138">
        <v>24810</v>
      </c>
      <c r="F144" s="139">
        <v>9119.2000000000007</v>
      </c>
      <c r="G144" s="160">
        <v>43070</v>
      </c>
      <c r="H144" s="160">
        <v>13600.53</v>
      </c>
      <c r="I144" s="160">
        <f>SUBTOTAL(9,I145:I154)</f>
        <v>31276</v>
      </c>
      <c r="J144" s="160">
        <v>21358.21</v>
      </c>
      <c r="K144" s="160">
        <f>SUBTOTAL(9,K145:K154)</f>
        <v>43500</v>
      </c>
      <c r="L144" s="160">
        <v>42062.549999999996</v>
      </c>
      <c r="M144" s="160">
        <v>43500</v>
      </c>
      <c r="N144" s="160">
        <f>SUBTOTAL(9,N145:N154)</f>
        <v>45000</v>
      </c>
      <c r="O144" s="17">
        <f t="shared" ref="O144" si="167">SUBTOTAL(9,O145:O154)</f>
        <v>3496.8800000000006</v>
      </c>
      <c r="P144" s="17">
        <f t="shared" ref="P144" si="168">SUBTOTAL(9,P145:P154)</f>
        <v>7298.5600000000013</v>
      </c>
      <c r="Q144" s="171">
        <f t="shared" ref="Q144:R144" si="169">SUBTOTAL(9,Q145:Q154)</f>
        <v>8883.4</v>
      </c>
      <c r="R144" s="171">
        <f t="shared" si="169"/>
        <v>10999.520000000002</v>
      </c>
      <c r="S144" s="171">
        <f t="shared" ref="S144:T144" si="170">SUBTOTAL(9,S145:S154)</f>
        <v>13453.56</v>
      </c>
      <c r="T144" s="171">
        <f t="shared" si="170"/>
        <v>17742.200000000004</v>
      </c>
      <c r="U144" s="17">
        <f t="shared" ref="U144" si="171">SUBTOTAL(9,U145:U154)</f>
        <v>20476.600000000002</v>
      </c>
      <c r="V144" s="17">
        <f t="shared" ref="V144:W144" si="172">SUBTOTAL(9,V145:V154)</f>
        <v>23205.489999999998</v>
      </c>
      <c r="W144" s="17">
        <f t="shared" si="172"/>
        <v>27576.719999999994</v>
      </c>
      <c r="X144" s="478">
        <v>30470.959999999999</v>
      </c>
      <c r="Y144" s="507">
        <v>34146.21</v>
      </c>
    </row>
    <row r="145" spans="1:28" ht="15" outlineLevel="2">
      <c r="A145" s="46" t="s">
        <v>290</v>
      </c>
      <c r="B145" s="32">
        <f t="shared" si="158"/>
        <v>140</v>
      </c>
      <c r="C145" s="10" t="s">
        <v>59</v>
      </c>
      <c r="D145" s="10" t="s">
        <v>266</v>
      </c>
      <c r="E145" s="133">
        <v>0</v>
      </c>
      <c r="F145" s="18">
        <v>0</v>
      </c>
      <c r="G145" s="158">
        <v>500</v>
      </c>
      <c r="H145" s="158"/>
      <c r="I145" s="158">
        <v>1000</v>
      </c>
      <c r="J145" s="158"/>
      <c r="K145" s="158">
        <v>500</v>
      </c>
      <c r="L145" s="158">
        <v>158.72</v>
      </c>
      <c r="M145" s="158">
        <v>500</v>
      </c>
      <c r="N145" s="158">
        <v>1200</v>
      </c>
      <c r="O145" s="172">
        <v>32</v>
      </c>
      <c r="P145" s="18">
        <v>32</v>
      </c>
      <c r="Q145" s="172">
        <v>0</v>
      </c>
      <c r="R145" s="172">
        <v>64</v>
      </c>
      <c r="S145" s="172">
        <v>320</v>
      </c>
      <c r="T145" s="172">
        <v>320</v>
      </c>
      <c r="U145" s="18">
        <v>320</v>
      </c>
      <c r="V145" s="18">
        <v>461</v>
      </c>
      <c r="W145" s="18">
        <v>720.55</v>
      </c>
      <c r="X145" s="479">
        <v>720.55</v>
      </c>
      <c r="Y145" s="508">
        <v>784.55</v>
      </c>
    </row>
    <row r="146" spans="1:28" ht="15" outlineLevel="2">
      <c r="A146" s="46" t="s">
        <v>291</v>
      </c>
      <c r="B146" s="32">
        <f t="shared" si="158"/>
        <v>141</v>
      </c>
      <c r="C146" s="10" t="s">
        <v>292</v>
      </c>
      <c r="D146" s="10" t="s">
        <v>293</v>
      </c>
      <c r="E146" s="133">
        <v>10350</v>
      </c>
      <c r="F146" s="134">
        <v>4807.57</v>
      </c>
      <c r="G146" s="158">
        <v>13000</v>
      </c>
      <c r="H146" s="158">
        <v>7621.5</v>
      </c>
      <c r="I146" s="158">
        <v>15000</v>
      </c>
      <c r="J146" s="158">
        <v>11906.310000000001</v>
      </c>
      <c r="K146" s="158">
        <v>18000</v>
      </c>
      <c r="L146" s="158">
        <v>13271.029999999999</v>
      </c>
      <c r="M146" s="158">
        <v>18000</v>
      </c>
      <c r="N146" s="158">
        <v>12000</v>
      </c>
      <c r="O146" s="172">
        <f>335.82+836</f>
        <v>1171.82</v>
      </c>
      <c r="P146" s="172">
        <f>671.64+1245.6</f>
        <v>1917.2399999999998</v>
      </c>
      <c r="Q146" s="172">
        <f>1007.46+1245.6</f>
        <v>2253.06</v>
      </c>
      <c r="R146" s="172">
        <f>1343.28+1245.6</f>
        <v>2588.88</v>
      </c>
      <c r="S146" s="172">
        <f>1679.1+1309.6</f>
        <v>2988.7</v>
      </c>
      <c r="T146" s="172">
        <f>2014.92+3668</f>
        <v>5682.92</v>
      </c>
      <c r="U146" s="172">
        <f>2417.9+3723</f>
        <v>6140.9</v>
      </c>
      <c r="V146" s="172">
        <f>2820.88+3835.5</f>
        <v>6656.38</v>
      </c>
      <c r="W146" s="172">
        <f>3223.86+5726.8</f>
        <v>8950.66</v>
      </c>
      <c r="X146" s="474">
        <v>9353.64</v>
      </c>
      <c r="Y146" s="503">
        <v>10302.82</v>
      </c>
    </row>
    <row r="147" spans="1:28" ht="15" outlineLevel="2">
      <c r="A147" s="46" t="s">
        <v>294</v>
      </c>
      <c r="B147" s="32">
        <f t="shared" si="158"/>
        <v>142</v>
      </c>
      <c r="C147" s="10" t="s">
        <v>295</v>
      </c>
      <c r="D147" s="12" t="s">
        <v>296</v>
      </c>
      <c r="E147" s="133">
        <v>5960</v>
      </c>
      <c r="F147" s="134">
        <v>1551.23</v>
      </c>
      <c r="G147" s="158">
        <v>16250</v>
      </c>
      <c r="H147" s="158">
        <v>2088.4499999999998</v>
      </c>
      <c r="I147" s="158">
        <v>2206</v>
      </c>
      <c r="J147" s="158">
        <v>3912.71</v>
      </c>
      <c r="K147" s="158">
        <v>10000</v>
      </c>
      <c r="L147" s="158">
        <v>13239.02</v>
      </c>
      <c r="M147" s="158">
        <v>10000</v>
      </c>
      <c r="N147" s="158">
        <v>10000</v>
      </c>
      <c r="O147" s="172">
        <f>335.82+804.53</f>
        <v>1140.3499999999999</v>
      </c>
      <c r="P147" s="172">
        <f>671.64+1418.53</f>
        <v>2090.17</v>
      </c>
      <c r="Q147" s="172">
        <f>1007.46+1692.13</f>
        <v>2699.59</v>
      </c>
      <c r="R147" s="172">
        <f>1452.41+1969.59</f>
        <v>3422</v>
      </c>
      <c r="S147" s="172">
        <f>1788.23+2453.59</f>
        <v>4241.82</v>
      </c>
      <c r="T147" s="172">
        <f>2124.05+3040.59</f>
        <v>5164.6400000000003</v>
      </c>
      <c r="U147" s="172">
        <f>2527.03+3533.29</f>
        <v>6060.32</v>
      </c>
      <c r="V147" s="172">
        <f>2930.01+4485.36</f>
        <v>7415.37</v>
      </c>
      <c r="W147" s="172">
        <f>3332.99+4939</f>
        <v>8271.99</v>
      </c>
      <c r="X147" s="474">
        <v>8770.9699999999993</v>
      </c>
      <c r="Y147" s="503">
        <v>10413.81</v>
      </c>
    </row>
    <row r="148" spans="1:28" ht="15" outlineLevel="2">
      <c r="A148" s="46" t="s">
        <v>297</v>
      </c>
      <c r="B148" s="32">
        <f t="shared" si="158"/>
        <v>143</v>
      </c>
      <c r="C148" s="10"/>
      <c r="D148" s="10" t="s">
        <v>298</v>
      </c>
      <c r="E148" s="142">
        <v>7000</v>
      </c>
      <c r="F148" s="114">
        <v>2117.4</v>
      </c>
      <c r="G148" s="161">
        <v>11320</v>
      </c>
      <c r="H148" s="161">
        <v>3570.58</v>
      </c>
      <c r="I148" s="161">
        <f>SUBTOTAL(9,I149:I153)</f>
        <v>11070</v>
      </c>
      <c r="J148" s="161">
        <v>4918.3900000000003</v>
      </c>
      <c r="K148" s="161">
        <f>SUBTOTAL(9,K149:K153)</f>
        <v>13000</v>
      </c>
      <c r="L148" s="161">
        <v>14606.58</v>
      </c>
      <c r="M148" s="161">
        <v>13000</v>
      </c>
      <c r="N148" s="161">
        <f>SUBTOTAL(9,N149:N153)</f>
        <v>19800</v>
      </c>
      <c r="O148" s="175">
        <f t="shared" ref="O148" si="173">SUBTOTAL(9,O149:O153)</f>
        <v>1152.7099999999998</v>
      </c>
      <c r="P148" s="175">
        <f t="shared" ref="P148" si="174">SUBTOTAL(9,P149:P153)</f>
        <v>3259.1499999999996</v>
      </c>
      <c r="Q148" s="175">
        <f t="shared" ref="Q148:R148" si="175">SUBTOTAL(9,Q149:Q153)</f>
        <v>3930.75</v>
      </c>
      <c r="R148" s="175">
        <f t="shared" si="175"/>
        <v>4924.6399999999985</v>
      </c>
      <c r="S148" s="175">
        <f t="shared" ref="S148:T148" si="176">SUBTOTAL(9,S149:S153)</f>
        <v>5903.0399999999991</v>
      </c>
      <c r="T148" s="175">
        <f t="shared" si="176"/>
        <v>6574.64</v>
      </c>
      <c r="U148" s="175">
        <f t="shared" ref="U148:V148" si="177">SUBTOTAL(9,U149:U153)</f>
        <v>7955.38</v>
      </c>
      <c r="V148" s="175">
        <f t="shared" si="177"/>
        <v>8672.74</v>
      </c>
      <c r="W148" s="175">
        <f t="shared" ref="W148" si="178">SUBTOTAL(9,W149:W153)</f>
        <v>9633.52</v>
      </c>
      <c r="X148" s="477">
        <v>10170.799999999999</v>
      </c>
      <c r="Y148" s="506">
        <v>11094.03</v>
      </c>
    </row>
    <row r="149" spans="1:28" ht="15" outlineLevel="3">
      <c r="A149" s="47" t="s">
        <v>299</v>
      </c>
      <c r="B149" s="33">
        <f t="shared" si="158"/>
        <v>144</v>
      </c>
      <c r="C149" s="10" t="s">
        <v>300</v>
      </c>
      <c r="D149" s="12" t="s">
        <v>301</v>
      </c>
      <c r="E149" s="133">
        <f>[1]WiWi!G13</f>
        <v>3000</v>
      </c>
      <c r="F149" s="134">
        <v>1120</v>
      </c>
      <c r="G149" s="158">
        <v>4200</v>
      </c>
      <c r="H149" s="158">
        <v>1647.92</v>
      </c>
      <c r="I149" s="158">
        <v>3000</v>
      </c>
      <c r="J149" s="158">
        <v>2757.48</v>
      </c>
      <c r="K149" s="158">
        <v>6000</v>
      </c>
      <c r="L149" s="158">
        <v>4907.83</v>
      </c>
      <c r="M149" s="158">
        <v>6000</v>
      </c>
      <c r="N149" s="158">
        <v>5000</v>
      </c>
      <c r="O149" s="172">
        <v>134.32</v>
      </c>
      <c r="P149" s="172">
        <f>268.64+591.63</f>
        <v>860.27</v>
      </c>
      <c r="Q149" s="172">
        <f>402.96+591.63</f>
        <v>994.58999999999992</v>
      </c>
      <c r="R149" s="172">
        <f>537.28+819.42</f>
        <v>1356.6999999999998</v>
      </c>
      <c r="S149" s="172">
        <f>671.6+819.42</f>
        <v>1491.02</v>
      </c>
      <c r="T149" s="172">
        <f>805.92+819.42</f>
        <v>1625.34</v>
      </c>
      <c r="U149" s="172">
        <f>1045.24+1120.22</f>
        <v>2165.46</v>
      </c>
      <c r="V149" s="172">
        <f>1179.56+1120.22</f>
        <v>2299.7799999999997</v>
      </c>
      <c r="W149" s="172">
        <f>1313.88+1120.22</f>
        <v>2434.1000000000004</v>
      </c>
      <c r="X149" s="474">
        <v>2568.42</v>
      </c>
      <c r="Y149" s="503">
        <v>2702.74</v>
      </c>
    </row>
    <row r="150" spans="1:28" ht="15" outlineLevel="3">
      <c r="A150" s="47" t="s">
        <v>302</v>
      </c>
      <c r="B150" s="33">
        <f t="shared" si="158"/>
        <v>145</v>
      </c>
      <c r="C150" s="10" t="s">
        <v>303</v>
      </c>
      <c r="D150" s="12" t="s">
        <v>304</v>
      </c>
      <c r="E150" s="133">
        <v>500</v>
      </c>
      <c r="F150" s="134">
        <v>302.39999999999998</v>
      </c>
      <c r="G150" s="158">
        <v>2670</v>
      </c>
      <c r="H150" s="158">
        <v>320</v>
      </c>
      <c r="I150" s="158">
        <v>2670</v>
      </c>
      <c r="J150" s="158">
        <v>461.4</v>
      </c>
      <c r="K150" s="158">
        <v>1500</v>
      </c>
      <c r="L150" s="158">
        <v>2613.3200000000002</v>
      </c>
      <c r="M150" s="158">
        <v>1500</v>
      </c>
      <c r="N150" s="158">
        <v>3500</v>
      </c>
      <c r="O150" s="172">
        <f>134.32+397</f>
        <v>531.31999999999994</v>
      </c>
      <c r="P150" s="172">
        <f>268.64+397</f>
        <v>665.64</v>
      </c>
      <c r="Q150" s="172">
        <f>402.96+397</f>
        <v>799.96</v>
      </c>
      <c r="R150" s="172">
        <f>537.28+397</f>
        <v>934.28</v>
      </c>
      <c r="S150" s="172">
        <f>671.6+397</f>
        <v>1068.5999999999999</v>
      </c>
      <c r="T150" s="172">
        <f>805.92+397</f>
        <v>1202.92</v>
      </c>
      <c r="U150" s="172">
        <f>805.92+397</f>
        <v>1202.92</v>
      </c>
      <c r="V150" s="172">
        <f>805.92+397</f>
        <v>1202.92</v>
      </c>
      <c r="W150" s="172">
        <f>805.92+397</f>
        <v>1202.92</v>
      </c>
      <c r="X150" s="474">
        <v>1202.92</v>
      </c>
      <c r="Y150" s="503">
        <v>1202.92</v>
      </c>
    </row>
    <row r="151" spans="1:28" ht="15" outlineLevel="3">
      <c r="A151" s="47" t="s">
        <v>305</v>
      </c>
      <c r="B151" s="33">
        <f t="shared" si="158"/>
        <v>146</v>
      </c>
      <c r="C151" s="10" t="s">
        <v>306</v>
      </c>
      <c r="D151" s="12" t="s">
        <v>307</v>
      </c>
      <c r="E151" s="133">
        <v>500</v>
      </c>
      <c r="F151" s="134">
        <v>551</v>
      </c>
      <c r="G151" s="158">
        <v>1600</v>
      </c>
      <c r="H151" s="158">
        <v>266.97000000000003</v>
      </c>
      <c r="I151" s="158">
        <v>1400</v>
      </c>
      <c r="J151" s="158">
        <v>94</v>
      </c>
      <c r="K151" s="158">
        <v>1500</v>
      </c>
      <c r="L151" s="158">
        <v>2023.15</v>
      </c>
      <c r="M151" s="158">
        <v>1500</v>
      </c>
      <c r="N151" s="158">
        <v>2500</v>
      </c>
      <c r="O151" s="172">
        <v>134.32</v>
      </c>
      <c r="P151" s="172">
        <v>268.64</v>
      </c>
      <c r="Q151" s="172">
        <v>402.96</v>
      </c>
      <c r="R151" s="172">
        <v>537.28</v>
      </c>
      <c r="S151" s="172">
        <v>671.6</v>
      </c>
      <c r="T151" s="172">
        <v>805.92</v>
      </c>
      <c r="U151" s="172">
        <f>940.24+128</f>
        <v>1068.24</v>
      </c>
      <c r="V151" s="172">
        <f>1074.56+128</f>
        <v>1202.56</v>
      </c>
      <c r="W151" s="172">
        <f>1208.88+128</f>
        <v>1336.88</v>
      </c>
      <c r="X151" s="474">
        <v>1471.2</v>
      </c>
      <c r="Y151" s="503">
        <v>1605.52</v>
      </c>
    </row>
    <row r="152" spans="1:28" ht="15" outlineLevel="3">
      <c r="A152" s="47" t="s">
        <v>308</v>
      </c>
      <c r="B152" s="33">
        <f t="shared" si="158"/>
        <v>147</v>
      </c>
      <c r="C152" s="10" t="s">
        <v>309</v>
      </c>
      <c r="D152" s="12" t="s">
        <v>310</v>
      </c>
      <c r="E152" s="133">
        <v>2000</v>
      </c>
      <c r="F152" s="134">
        <v>144</v>
      </c>
      <c r="G152" s="158">
        <v>1700</v>
      </c>
      <c r="H152" s="158">
        <v>1335.69</v>
      </c>
      <c r="I152" s="158">
        <v>2500</v>
      </c>
      <c r="J152" s="158">
        <v>1281.51</v>
      </c>
      <c r="K152" s="158">
        <v>2500</v>
      </c>
      <c r="L152" s="158">
        <v>3007.13</v>
      </c>
      <c r="M152" s="158">
        <v>2500</v>
      </c>
      <c r="N152" s="158">
        <v>6000</v>
      </c>
      <c r="O152" s="172">
        <f>134.32+84.11</f>
        <v>218.43</v>
      </c>
      <c r="P152" s="172">
        <f>268.64+927.32</f>
        <v>1195.96</v>
      </c>
      <c r="Q152" s="172">
        <f>402.96+927.32</f>
        <v>1330.28</v>
      </c>
      <c r="R152" s="172">
        <f>537.28+1021.82</f>
        <v>1559.1</v>
      </c>
      <c r="S152" s="172">
        <f>671.6+1080.82</f>
        <v>1752.42</v>
      </c>
      <c r="T152" s="172">
        <f>805.92+1080.82</f>
        <v>1886.7399999999998</v>
      </c>
      <c r="U152" s="172">
        <f>940.24+1390.48</f>
        <v>2330.7200000000003</v>
      </c>
      <c r="V152" s="172">
        <f>1074.56+1570.56</f>
        <v>2645.12</v>
      </c>
      <c r="W152" s="172">
        <f>1208.88+1839.69</f>
        <v>3048.57</v>
      </c>
      <c r="X152" s="474">
        <v>3182.89</v>
      </c>
      <c r="Y152" s="503">
        <v>3703.16</v>
      </c>
    </row>
    <row r="153" spans="1:28" ht="15" outlineLevel="3">
      <c r="A153" s="47" t="s">
        <v>311</v>
      </c>
      <c r="B153" s="33">
        <f t="shared" si="158"/>
        <v>148</v>
      </c>
      <c r="C153" s="10" t="s">
        <v>312</v>
      </c>
      <c r="D153" s="12" t="s">
        <v>313</v>
      </c>
      <c r="E153" s="133">
        <v>1000</v>
      </c>
      <c r="F153" s="134">
        <v>0</v>
      </c>
      <c r="G153" s="158">
        <v>1150</v>
      </c>
      <c r="H153" s="158">
        <v>0</v>
      </c>
      <c r="I153" s="158">
        <v>1500</v>
      </c>
      <c r="J153" s="158">
        <v>324</v>
      </c>
      <c r="K153" s="158">
        <v>1500</v>
      </c>
      <c r="L153" s="158">
        <v>2055.15</v>
      </c>
      <c r="M153" s="158">
        <v>1500</v>
      </c>
      <c r="N153" s="158">
        <v>2800</v>
      </c>
      <c r="O153" s="172">
        <v>134.32</v>
      </c>
      <c r="P153" s="172">
        <v>268.64</v>
      </c>
      <c r="Q153" s="172">
        <v>402.96</v>
      </c>
      <c r="R153" s="172">
        <v>537.28</v>
      </c>
      <c r="S153" s="172">
        <f>671.6+247.8</f>
        <v>919.40000000000009</v>
      </c>
      <c r="T153" s="172">
        <f>805.92+247.8</f>
        <v>1053.72</v>
      </c>
      <c r="U153" s="172">
        <f>940.24+247.8</f>
        <v>1188.04</v>
      </c>
      <c r="V153" s="172">
        <f>1074.56+247.8</f>
        <v>1322.36</v>
      </c>
      <c r="W153" s="172">
        <f>1208.88+402.17</f>
        <v>1611.0500000000002</v>
      </c>
      <c r="X153" s="474">
        <v>1745.37</v>
      </c>
      <c r="Y153" s="503">
        <v>1879.69</v>
      </c>
    </row>
    <row r="154" spans="1:28" ht="15" outlineLevel="2">
      <c r="A154" s="46" t="s">
        <v>314</v>
      </c>
      <c r="B154" s="32">
        <f t="shared" si="158"/>
        <v>149</v>
      </c>
      <c r="C154" s="10" t="s">
        <v>315</v>
      </c>
      <c r="D154" s="10" t="s">
        <v>179</v>
      </c>
      <c r="E154" s="136">
        <v>1500</v>
      </c>
      <c r="F154" s="137">
        <v>643</v>
      </c>
      <c r="G154" s="159">
        <v>2000</v>
      </c>
      <c r="H154" s="159">
        <v>320</v>
      </c>
      <c r="I154" s="159">
        <v>2000</v>
      </c>
      <c r="J154" s="159">
        <v>620.79999999999995</v>
      </c>
      <c r="K154" s="159">
        <v>2000</v>
      </c>
      <c r="L154" s="159">
        <v>787.2</v>
      </c>
      <c r="M154" s="159">
        <v>2000</v>
      </c>
      <c r="N154" s="159">
        <v>2000</v>
      </c>
      <c r="O154" s="172">
        <v>0</v>
      </c>
      <c r="P154" s="172">
        <v>0</v>
      </c>
      <c r="Q154" s="172">
        <v>0</v>
      </c>
      <c r="R154" s="172">
        <v>0</v>
      </c>
      <c r="S154" s="172">
        <v>0</v>
      </c>
      <c r="T154" s="172">
        <v>0</v>
      </c>
      <c r="U154" s="172">
        <v>0</v>
      </c>
      <c r="V154" s="172">
        <v>0</v>
      </c>
      <c r="W154" s="172">
        <v>0</v>
      </c>
      <c r="X154" s="474">
        <v>1455</v>
      </c>
      <c r="Y154" s="503">
        <v>1551</v>
      </c>
    </row>
    <row r="155" spans="1:28" ht="15" outlineLevel="1">
      <c r="B155" s="29">
        <f t="shared" si="158"/>
        <v>150</v>
      </c>
      <c r="H155" s="13"/>
      <c r="O155" s="13"/>
      <c r="P155" s="13"/>
      <c r="Q155" s="168"/>
      <c r="R155" s="168"/>
      <c r="S155" s="168"/>
      <c r="T155" s="168"/>
      <c r="U155" s="168"/>
      <c r="V155" s="168"/>
      <c r="W155" s="168"/>
      <c r="X155" s="469"/>
      <c r="Y155" s="498"/>
    </row>
    <row r="156" spans="1:28" ht="15" outlineLevel="1">
      <c r="A156" s="45" t="s">
        <v>316</v>
      </c>
      <c r="B156" s="31">
        <f t="shared" si="158"/>
        <v>151</v>
      </c>
      <c r="C156" s="9"/>
      <c r="D156" s="9" t="s">
        <v>317</v>
      </c>
      <c r="E156" s="138">
        <v>6850</v>
      </c>
      <c r="F156" s="139">
        <v>2694.37</v>
      </c>
      <c r="G156" s="160">
        <v>12800</v>
      </c>
      <c r="H156" s="160">
        <v>5105.21</v>
      </c>
      <c r="I156" s="160">
        <f>I157+I158+I159+I160+I166</f>
        <v>17498</v>
      </c>
      <c r="J156" s="160">
        <v>5323.96</v>
      </c>
      <c r="K156" s="160">
        <f>K157+K158+K159+K160+K166</f>
        <v>13000</v>
      </c>
      <c r="L156" s="160">
        <v>15578.939999999999</v>
      </c>
      <c r="M156" s="160">
        <v>13000</v>
      </c>
      <c r="N156" s="160">
        <f>SUBTOTAL(9,N157:N166)</f>
        <v>7850</v>
      </c>
      <c r="O156" s="171">
        <f t="shared" ref="O156" si="179">SUBTOTAL(9,O157:O166)</f>
        <v>659.5</v>
      </c>
      <c r="P156" s="171">
        <f t="shared" ref="P156" si="180">SUBTOTAL(9,P157:P166)</f>
        <v>830.47</v>
      </c>
      <c r="Q156" s="171">
        <f t="shared" ref="Q156:R156" si="181">SUBTOTAL(9,Q157:Q166)</f>
        <v>912.94</v>
      </c>
      <c r="R156" s="171">
        <f t="shared" si="181"/>
        <v>912.94</v>
      </c>
      <c r="S156" s="171">
        <f t="shared" ref="S156:T156" si="182">SUBTOTAL(9,S157:S166)</f>
        <v>1330.19</v>
      </c>
      <c r="T156" s="171">
        <f t="shared" si="182"/>
        <v>1330.19</v>
      </c>
      <c r="U156" s="171">
        <f t="shared" ref="U156" si="183">SUBTOTAL(9,U157:U166)</f>
        <v>1420.19</v>
      </c>
      <c r="V156" s="171">
        <f t="shared" ref="V156:W156" si="184">SUBTOTAL(9,V157:V166)</f>
        <v>1457.19</v>
      </c>
      <c r="W156" s="171">
        <f t="shared" si="184"/>
        <v>2020.53</v>
      </c>
      <c r="X156" s="473">
        <v>2147.58</v>
      </c>
      <c r="Y156" s="502">
        <v>2571.2800000000002</v>
      </c>
    </row>
    <row r="157" spans="1:28" ht="15" outlineLevel="2">
      <c r="A157" s="46" t="s">
        <v>318</v>
      </c>
      <c r="B157" s="32">
        <f t="shared" si="158"/>
        <v>152</v>
      </c>
      <c r="C157" s="10" t="s">
        <v>291</v>
      </c>
      <c r="D157" s="10" t="s">
        <v>293</v>
      </c>
      <c r="E157" s="133">
        <v>2500</v>
      </c>
      <c r="F157" s="134">
        <v>1810.85</v>
      </c>
      <c r="G157" s="158">
        <v>2500</v>
      </c>
      <c r="H157" s="158">
        <v>3595.3</v>
      </c>
      <c r="I157" s="158">
        <v>8000</v>
      </c>
      <c r="J157" s="158">
        <v>3574.56</v>
      </c>
      <c r="K157" s="158">
        <v>6000</v>
      </c>
      <c r="L157" s="158">
        <v>320.68</v>
      </c>
      <c r="M157" s="158">
        <v>6000</v>
      </c>
      <c r="N157" s="158">
        <v>2000</v>
      </c>
      <c r="O157" s="172">
        <v>191.75</v>
      </c>
      <c r="P157" s="172">
        <v>255.25</v>
      </c>
      <c r="Q157" s="172">
        <v>255.25</v>
      </c>
      <c r="R157" s="172">
        <v>255.25</v>
      </c>
      <c r="S157" s="172">
        <v>377.58</v>
      </c>
      <c r="T157" s="172">
        <v>377.58</v>
      </c>
      <c r="U157" s="172">
        <v>377.58</v>
      </c>
      <c r="V157" s="172">
        <v>377.58</v>
      </c>
      <c r="W157" s="172">
        <v>831.72</v>
      </c>
      <c r="X157" s="474">
        <v>831.72</v>
      </c>
      <c r="Y157" s="503">
        <v>831.72</v>
      </c>
    </row>
    <row r="158" spans="1:28" ht="15" outlineLevel="2">
      <c r="A158" s="46" t="s">
        <v>319</v>
      </c>
      <c r="B158" s="32">
        <f t="shared" si="158"/>
        <v>153</v>
      </c>
      <c r="C158" s="10" t="s">
        <v>290</v>
      </c>
      <c r="D158" s="12" t="s">
        <v>320</v>
      </c>
      <c r="E158" s="133">
        <v>2500</v>
      </c>
      <c r="F158" s="134">
        <v>732.35</v>
      </c>
      <c r="G158" s="158">
        <v>5050</v>
      </c>
      <c r="H158" s="158">
        <v>1080.08</v>
      </c>
      <c r="I158" s="158">
        <v>2548</v>
      </c>
      <c r="J158" s="158">
        <v>1373.81</v>
      </c>
      <c r="K158" s="158">
        <v>3000</v>
      </c>
      <c r="L158" s="158">
        <v>10579.24</v>
      </c>
      <c r="M158" s="158">
        <v>3000</v>
      </c>
      <c r="N158" s="158">
        <v>2000</v>
      </c>
      <c r="O158" s="172">
        <v>458.36</v>
      </c>
      <c r="P158" s="172">
        <v>458.36</v>
      </c>
      <c r="Q158" s="172">
        <v>458.36</v>
      </c>
      <c r="R158" s="172">
        <v>458.36</v>
      </c>
      <c r="S158" s="172">
        <v>636.96</v>
      </c>
      <c r="T158" s="172">
        <v>636.96</v>
      </c>
      <c r="U158" s="172">
        <v>726.96</v>
      </c>
      <c r="V158" s="172">
        <v>726.96</v>
      </c>
      <c r="W158" s="172">
        <v>804.46</v>
      </c>
      <c r="X158" s="474">
        <v>804.46</v>
      </c>
      <c r="Y158" s="503">
        <v>804.46</v>
      </c>
      <c r="Z158" s="53"/>
      <c r="AA158" s="53"/>
      <c r="AB158" s="53"/>
    </row>
    <row r="159" spans="1:28" ht="15" outlineLevel="2">
      <c r="A159" s="46" t="s">
        <v>321</v>
      </c>
      <c r="B159" s="32">
        <f t="shared" si="158"/>
        <v>154</v>
      </c>
      <c r="C159" s="10" t="s">
        <v>294</v>
      </c>
      <c r="D159" s="10" t="s">
        <v>322</v>
      </c>
      <c r="E159" s="133">
        <v>100</v>
      </c>
      <c r="F159" s="134">
        <v>0</v>
      </c>
      <c r="G159" s="158">
        <v>1000</v>
      </c>
      <c r="H159" s="158">
        <v>214.9</v>
      </c>
      <c r="I159" s="158">
        <v>1000</v>
      </c>
      <c r="J159" s="158">
        <v>0</v>
      </c>
      <c r="K159" s="158">
        <v>500</v>
      </c>
      <c r="L159" s="158">
        <v>880.54</v>
      </c>
      <c r="M159" s="158">
        <v>500</v>
      </c>
      <c r="N159" s="158">
        <v>1000</v>
      </c>
      <c r="O159" s="172">
        <v>9.39</v>
      </c>
      <c r="P159" s="172">
        <v>116.86</v>
      </c>
      <c r="Q159" s="172">
        <v>199.33</v>
      </c>
      <c r="R159" s="172">
        <v>199.33</v>
      </c>
      <c r="S159" s="172">
        <v>315.64999999999998</v>
      </c>
      <c r="T159" s="172">
        <v>315.64999999999998</v>
      </c>
      <c r="U159" s="172">
        <v>315.64999999999998</v>
      </c>
      <c r="V159" s="172">
        <v>352.65</v>
      </c>
      <c r="W159" s="172">
        <v>378.9</v>
      </c>
      <c r="X159" s="474">
        <v>460.24</v>
      </c>
      <c r="Y159" s="503">
        <v>833.42</v>
      </c>
    </row>
    <row r="160" spans="1:28" ht="15" outlineLevel="2">
      <c r="A160" s="46" t="s">
        <v>323</v>
      </c>
      <c r="B160" s="32">
        <f t="shared" si="158"/>
        <v>155</v>
      </c>
      <c r="C160" s="10"/>
      <c r="D160" s="10" t="s">
        <v>324</v>
      </c>
      <c r="E160" s="142">
        <v>1550</v>
      </c>
      <c r="F160" s="114">
        <v>142.19</v>
      </c>
      <c r="G160" s="161">
        <v>3750</v>
      </c>
      <c r="H160" s="161">
        <v>214.9</v>
      </c>
      <c r="I160" s="161">
        <v>4450</v>
      </c>
      <c r="J160" s="161">
        <v>215.97</v>
      </c>
      <c r="K160" s="161">
        <f>SUBTOTAL(9,K161:K165)</f>
        <v>2500</v>
      </c>
      <c r="L160" s="161">
        <v>3463.9199999999996</v>
      </c>
      <c r="M160" s="161">
        <v>2500</v>
      </c>
      <c r="N160" s="161">
        <f>SUBTOTAL(9,N161:N165)</f>
        <v>1850</v>
      </c>
      <c r="O160" s="175">
        <f t="shared" ref="O160" si="185">SUBTOTAL(9,O161:O165)</f>
        <v>0</v>
      </c>
      <c r="P160" s="175">
        <f t="shared" ref="P160" si="186">SUBTOTAL(9,P161:P165)</f>
        <v>0</v>
      </c>
      <c r="Q160" s="175">
        <f t="shared" ref="Q160:R160" si="187">SUBTOTAL(9,Q161:Q165)</f>
        <v>0</v>
      </c>
      <c r="R160" s="175">
        <f t="shared" si="187"/>
        <v>0</v>
      </c>
      <c r="S160" s="175">
        <f t="shared" ref="S160:T160" si="188">SUBTOTAL(9,S161:S165)</f>
        <v>0</v>
      </c>
      <c r="T160" s="175">
        <f t="shared" si="188"/>
        <v>0</v>
      </c>
      <c r="U160" s="175">
        <f t="shared" ref="U160:V160" si="189">SUBTOTAL(9,U161:U165)</f>
        <v>0</v>
      </c>
      <c r="V160" s="175">
        <f t="shared" si="189"/>
        <v>0</v>
      </c>
      <c r="W160" s="175">
        <f t="shared" ref="W160" si="190">SUBTOTAL(9,W161:W165)</f>
        <v>5.45</v>
      </c>
      <c r="X160" s="477">
        <v>5.45</v>
      </c>
      <c r="Y160" s="506">
        <v>55.97</v>
      </c>
    </row>
    <row r="161" spans="1:25" ht="15" outlineLevel="3">
      <c r="A161" s="47" t="s">
        <v>325</v>
      </c>
      <c r="B161" s="33">
        <f t="shared" si="158"/>
        <v>156</v>
      </c>
      <c r="C161" s="10" t="s">
        <v>326</v>
      </c>
      <c r="D161" s="12" t="s">
        <v>301</v>
      </c>
      <c r="E161" s="133">
        <f>[1]WiWi!G14</f>
        <v>200</v>
      </c>
      <c r="F161" s="134">
        <v>118.19</v>
      </c>
      <c r="G161" s="158">
        <f>[1]WiWi!E14</f>
        <v>1000</v>
      </c>
      <c r="H161" s="158">
        <v>14.9</v>
      </c>
      <c r="I161" s="158">
        <v>2000</v>
      </c>
      <c r="J161" s="158">
        <v>4.59</v>
      </c>
      <c r="K161" s="158">
        <v>500</v>
      </c>
      <c r="L161" s="158">
        <v>1261.3899999999999</v>
      </c>
      <c r="M161" s="158">
        <v>500</v>
      </c>
      <c r="N161" s="158">
        <v>250</v>
      </c>
      <c r="O161" s="172">
        <v>0</v>
      </c>
      <c r="P161" s="172">
        <v>0</v>
      </c>
      <c r="Q161" s="172">
        <v>0</v>
      </c>
      <c r="R161" s="172">
        <v>0</v>
      </c>
      <c r="S161" s="172">
        <v>0</v>
      </c>
      <c r="T161" s="172">
        <v>0</v>
      </c>
      <c r="U161" s="172">
        <v>0</v>
      </c>
      <c r="V161" s="172">
        <v>0</v>
      </c>
      <c r="W161" s="172">
        <v>0</v>
      </c>
      <c r="X161" s="474">
        <v>0</v>
      </c>
      <c r="Y161" s="503">
        <v>0</v>
      </c>
    </row>
    <row r="162" spans="1:25" ht="15" outlineLevel="3">
      <c r="A162" s="47" t="s">
        <v>327</v>
      </c>
      <c r="B162" s="33">
        <f t="shared" si="158"/>
        <v>157</v>
      </c>
      <c r="C162" s="10" t="s">
        <v>328</v>
      </c>
      <c r="D162" s="12" t="s">
        <v>304</v>
      </c>
      <c r="E162" s="133">
        <v>100</v>
      </c>
      <c r="F162" s="134">
        <v>0</v>
      </c>
      <c r="G162" s="158">
        <v>1200</v>
      </c>
      <c r="H162" s="158">
        <v>0</v>
      </c>
      <c r="I162" s="158">
        <v>1200</v>
      </c>
      <c r="J162" s="158">
        <v>0</v>
      </c>
      <c r="K162" s="158">
        <v>500</v>
      </c>
      <c r="L162" s="158">
        <v>1999.51</v>
      </c>
      <c r="M162" s="158">
        <v>500</v>
      </c>
      <c r="N162" s="158">
        <v>1000</v>
      </c>
      <c r="O162" s="172">
        <v>0</v>
      </c>
      <c r="P162" s="172">
        <v>0</v>
      </c>
      <c r="Q162" s="172">
        <v>0</v>
      </c>
      <c r="R162" s="172">
        <v>0</v>
      </c>
      <c r="S162" s="172">
        <v>0</v>
      </c>
      <c r="T162" s="172">
        <v>0</v>
      </c>
      <c r="U162" s="172">
        <v>0</v>
      </c>
      <c r="V162" s="172">
        <v>0</v>
      </c>
      <c r="W162" s="172">
        <v>0</v>
      </c>
      <c r="X162" s="474">
        <v>0</v>
      </c>
      <c r="Y162" s="503">
        <v>50.52</v>
      </c>
    </row>
    <row r="163" spans="1:25" ht="15" outlineLevel="3">
      <c r="A163" s="47" t="s">
        <v>329</v>
      </c>
      <c r="B163" s="33">
        <f t="shared" si="158"/>
        <v>158</v>
      </c>
      <c r="C163" s="10" t="s">
        <v>330</v>
      </c>
      <c r="D163" s="12" t="s">
        <v>307</v>
      </c>
      <c r="E163" s="133">
        <v>500</v>
      </c>
      <c r="F163" s="134">
        <v>0</v>
      </c>
      <c r="G163" s="158">
        <v>400</v>
      </c>
      <c r="H163" s="158">
        <v>200</v>
      </c>
      <c r="I163" s="158">
        <v>500</v>
      </c>
      <c r="J163" s="158">
        <v>0</v>
      </c>
      <c r="K163" s="158">
        <v>500</v>
      </c>
      <c r="L163" s="158">
        <v>0</v>
      </c>
      <c r="M163" s="158">
        <v>500</v>
      </c>
      <c r="N163" s="158">
        <v>250</v>
      </c>
      <c r="O163" s="172">
        <v>0</v>
      </c>
      <c r="P163" s="172">
        <v>0</v>
      </c>
      <c r="Q163" s="172">
        <v>0</v>
      </c>
      <c r="R163" s="172">
        <v>0</v>
      </c>
      <c r="S163" s="172">
        <v>0</v>
      </c>
      <c r="T163" s="172">
        <v>0</v>
      </c>
      <c r="U163" s="172">
        <v>0</v>
      </c>
      <c r="V163" s="172">
        <v>0</v>
      </c>
      <c r="W163" s="172">
        <v>0</v>
      </c>
      <c r="X163" s="474">
        <v>0</v>
      </c>
      <c r="Y163" s="503">
        <v>0</v>
      </c>
    </row>
    <row r="164" spans="1:25" ht="15" outlineLevel="3">
      <c r="A164" s="47" t="s">
        <v>331</v>
      </c>
      <c r="B164" s="33">
        <f t="shared" si="158"/>
        <v>159</v>
      </c>
      <c r="C164" s="10" t="s">
        <v>332</v>
      </c>
      <c r="D164" s="12" t="s">
        <v>310</v>
      </c>
      <c r="E164" s="133">
        <v>500</v>
      </c>
      <c r="F164" s="134">
        <v>24</v>
      </c>
      <c r="G164" s="158">
        <v>500</v>
      </c>
      <c r="H164" s="158">
        <v>0</v>
      </c>
      <c r="I164" s="158">
        <v>500</v>
      </c>
      <c r="J164" s="158">
        <v>32</v>
      </c>
      <c r="K164" s="158">
        <v>500</v>
      </c>
      <c r="L164" s="158">
        <v>203.02</v>
      </c>
      <c r="M164" s="158">
        <v>500</v>
      </c>
      <c r="N164" s="158">
        <v>100</v>
      </c>
      <c r="O164" s="172">
        <v>0</v>
      </c>
      <c r="P164" s="172">
        <v>0</v>
      </c>
      <c r="Q164" s="172">
        <v>0</v>
      </c>
      <c r="R164" s="172">
        <v>0</v>
      </c>
      <c r="S164" s="172">
        <v>0</v>
      </c>
      <c r="T164" s="172">
        <v>0</v>
      </c>
      <c r="U164" s="172">
        <v>0</v>
      </c>
      <c r="V164" s="172">
        <v>0</v>
      </c>
      <c r="W164" s="172">
        <v>0</v>
      </c>
      <c r="X164" s="474">
        <v>0</v>
      </c>
      <c r="Y164" s="503">
        <v>0</v>
      </c>
    </row>
    <row r="165" spans="1:25" ht="15" outlineLevel="3">
      <c r="A165" s="47" t="s">
        <v>333</v>
      </c>
      <c r="B165" s="33">
        <f t="shared" si="158"/>
        <v>160</v>
      </c>
      <c r="C165" s="10" t="s">
        <v>334</v>
      </c>
      <c r="D165" s="12" t="s">
        <v>313</v>
      </c>
      <c r="E165" s="133">
        <v>250</v>
      </c>
      <c r="F165" s="134">
        <v>0</v>
      </c>
      <c r="G165" s="158">
        <v>650</v>
      </c>
      <c r="H165" s="158">
        <v>0</v>
      </c>
      <c r="I165" s="158">
        <v>250</v>
      </c>
      <c r="J165" s="158">
        <v>179.38</v>
      </c>
      <c r="K165" s="158">
        <v>500</v>
      </c>
      <c r="L165" s="158">
        <v>0</v>
      </c>
      <c r="M165" s="158">
        <v>500</v>
      </c>
      <c r="N165" s="158">
        <v>250</v>
      </c>
      <c r="O165" s="172">
        <v>0</v>
      </c>
      <c r="P165" s="172">
        <v>0</v>
      </c>
      <c r="Q165" s="172">
        <v>0</v>
      </c>
      <c r="R165" s="172">
        <v>0</v>
      </c>
      <c r="S165" s="172">
        <v>0</v>
      </c>
      <c r="T165" s="172">
        <v>0</v>
      </c>
      <c r="U165" s="172">
        <v>0</v>
      </c>
      <c r="V165" s="172">
        <v>0</v>
      </c>
      <c r="W165" s="172">
        <v>5.45</v>
      </c>
      <c r="X165" s="474">
        <v>5.45</v>
      </c>
      <c r="Y165" s="503">
        <v>5.45</v>
      </c>
    </row>
    <row r="166" spans="1:25" ht="15" outlineLevel="2">
      <c r="A166" s="46" t="s">
        <v>335</v>
      </c>
      <c r="B166" s="32">
        <f t="shared" si="158"/>
        <v>161</v>
      </c>
      <c r="C166" s="10" t="s">
        <v>336</v>
      </c>
      <c r="D166" s="10" t="s">
        <v>179</v>
      </c>
      <c r="E166" s="136">
        <v>200</v>
      </c>
      <c r="F166" s="137">
        <v>8.98</v>
      </c>
      <c r="G166" s="159">
        <v>500</v>
      </c>
      <c r="H166" s="159">
        <v>0</v>
      </c>
      <c r="I166" s="159">
        <v>1500</v>
      </c>
      <c r="J166" s="247">
        <v>159.62</v>
      </c>
      <c r="K166" s="247">
        <v>1000</v>
      </c>
      <c r="L166" s="247">
        <v>334.56</v>
      </c>
      <c r="M166" s="247">
        <v>1000</v>
      </c>
      <c r="N166" s="247">
        <v>1000</v>
      </c>
      <c r="O166" s="172">
        <v>0</v>
      </c>
      <c r="P166" s="172">
        <v>0</v>
      </c>
      <c r="Q166" s="172">
        <v>0</v>
      </c>
      <c r="R166" s="172">
        <v>0</v>
      </c>
      <c r="S166" s="172">
        <v>0</v>
      </c>
      <c r="T166" s="172">
        <v>0</v>
      </c>
      <c r="U166" s="172">
        <v>0</v>
      </c>
      <c r="V166" s="172">
        <v>0</v>
      </c>
      <c r="W166" s="172">
        <v>0</v>
      </c>
      <c r="X166" s="474">
        <v>45.71</v>
      </c>
      <c r="Y166" s="503">
        <v>45.71</v>
      </c>
    </row>
    <row r="167" spans="1:25" ht="15" outlineLevel="1">
      <c r="B167" s="29">
        <f t="shared" si="158"/>
        <v>162</v>
      </c>
      <c r="H167" s="13"/>
      <c r="O167" s="168"/>
      <c r="P167" s="168"/>
      <c r="Q167" s="168"/>
      <c r="R167" s="168"/>
      <c r="S167" s="168"/>
      <c r="T167" s="168"/>
      <c r="U167" s="168"/>
      <c r="V167" s="168"/>
      <c r="W167" s="168"/>
      <c r="X167" s="469"/>
      <c r="Y167" s="498"/>
    </row>
    <row r="168" spans="1:25" ht="15" outlineLevel="1">
      <c r="A168" s="45" t="s">
        <v>337</v>
      </c>
      <c r="B168" s="31">
        <f t="shared" si="158"/>
        <v>163</v>
      </c>
      <c r="C168" s="9"/>
      <c r="D168" s="9" t="s">
        <v>338</v>
      </c>
      <c r="E168" s="138">
        <f t="shared" ref="E168:G168" si="191">SUBTOTAL(9,E169:E172)</f>
        <v>364000</v>
      </c>
      <c r="F168" s="139">
        <f t="shared" si="191"/>
        <v>312651.59999999998</v>
      </c>
      <c r="G168" s="160">
        <f t="shared" si="191"/>
        <v>214000</v>
      </c>
      <c r="H168" s="160">
        <v>560.08000000000004</v>
      </c>
      <c r="I168" s="160">
        <v>4000</v>
      </c>
      <c r="J168" s="160">
        <v>986.08</v>
      </c>
      <c r="K168" s="160">
        <f t="shared" ref="K168:O168" si="192">SUBTOTAL(9,K169:K172)</f>
        <v>200000</v>
      </c>
      <c r="L168" s="160">
        <v>587.95000000000005</v>
      </c>
      <c r="M168" s="160">
        <v>200000</v>
      </c>
      <c r="N168" s="160">
        <f>SUBTOTAL(9,N169:N172)</f>
        <v>600</v>
      </c>
      <c r="O168" s="171">
        <f t="shared" si="192"/>
        <v>253.25</v>
      </c>
      <c r="P168" s="171">
        <f t="shared" ref="P168" si="193">SUBTOTAL(9,P169:P172)</f>
        <v>253.25</v>
      </c>
      <c r="Q168" s="171">
        <f t="shared" ref="Q168:R168" si="194">SUBTOTAL(9,Q169:Q172)</f>
        <v>571.24</v>
      </c>
      <c r="R168" s="171">
        <f t="shared" si="194"/>
        <v>571.24</v>
      </c>
      <c r="S168" s="171">
        <f t="shared" ref="S168:T168" si="195">SUBTOTAL(9,S169:S172)</f>
        <v>571.24</v>
      </c>
      <c r="T168" s="171">
        <f t="shared" si="195"/>
        <v>571.24</v>
      </c>
      <c r="U168" s="171">
        <f t="shared" ref="U168" si="196">SUBTOTAL(9,U169:U172)</f>
        <v>571.24</v>
      </c>
      <c r="V168" s="171">
        <f t="shared" ref="V168:W168" si="197">SUBTOTAL(9,V169:V172)</f>
        <v>571.24</v>
      </c>
      <c r="W168" s="171">
        <f t="shared" si="197"/>
        <v>571.24</v>
      </c>
      <c r="X168" s="473">
        <v>571.24</v>
      </c>
      <c r="Y168" s="502">
        <v>571.24</v>
      </c>
    </row>
    <row r="169" spans="1:25" ht="15" outlineLevel="2">
      <c r="A169" s="46" t="s">
        <v>339</v>
      </c>
      <c r="B169" s="32">
        <f t="shared" si="158"/>
        <v>164</v>
      </c>
      <c r="C169" s="10" t="s">
        <v>318</v>
      </c>
      <c r="D169" s="10" t="s">
        <v>340</v>
      </c>
      <c r="E169" s="133">
        <v>155000</v>
      </c>
      <c r="F169" s="134">
        <v>126134.02</v>
      </c>
      <c r="G169" s="158">
        <v>85000</v>
      </c>
      <c r="H169" s="158">
        <v>0</v>
      </c>
      <c r="I169" s="158">
        <v>0</v>
      </c>
      <c r="J169" s="158">
        <v>0</v>
      </c>
      <c r="K169" s="158">
        <v>97000</v>
      </c>
      <c r="L169" s="158">
        <v>0</v>
      </c>
      <c r="M169" s="158">
        <v>97000</v>
      </c>
      <c r="N169" s="158">
        <v>0</v>
      </c>
      <c r="O169" s="172">
        <v>0</v>
      </c>
      <c r="P169" s="172">
        <v>0</v>
      </c>
      <c r="Q169" s="172">
        <v>0</v>
      </c>
      <c r="R169" s="172">
        <v>0</v>
      </c>
      <c r="S169" s="172">
        <v>0</v>
      </c>
      <c r="T169" s="172">
        <v>0</v>
      </c>
      <c r="U169" s="172">
        <v>0</v>
      </c>
      <c r="V169" s="172">
        <v>0</v>
      </c>
      <c r="W169" s="172">
        <v>0</v>
      </c>
      <c r="X169" s="474">
        <v>0</v>
      </c>
      <c r="Y169" s="503">
        <v>0</v>
      </c>
    </row>
    <row r="170" spans="1:25" ht="15" outlineLevel="2">
      <c r="A170" s="46" t="s">
        <v>341</v>
      </c>
      <c r="B170" s="32">
        <f t="shared" si="158"/>
        <v>165</v>
      </c>
      <c r="C170" s="10" t="s">
        <v>319</v>
      </c>
      <c r="D170" s="10" t="s">
        <v>342</v>
      </c>
      <c r="E170" s="133">
        <v>205000</v>
      </c>
      <c r="F170" s="134">
        <v>185309.52</v>
      </c>
      <c r="G170" s="158">
        <v>125000</v>
      </c>
      <c r="H170" s="158">
        <v>0</v>
      </c>
      <c r="I170" s="158">
        <v>0</v>
      </c>
      <c r="J170" s="158">
        <v>0</v>
      </c>
      <c r="K170" s="158">
        <v>97000</v>
      </c>
      <c r="L170" s="158">
        <v>0</v>
      </c>
      <c r="M170" s="158">
        <v>97000</v>
      </c>
      <c r="N170" s="158">
        <v>0</v>
      </c>
      <c r="O170" s="172">
        <v>0</v>
      </c>
      <c r="P170" s="172">
        <v>0</v>
      </c>
      <c r="Q170" s="172">
        <v>0</v>
      </c>
      <c r="R170" s="172">
        <v>0</v>
      </c>
      <c r="S170" s="172">
        <v>0</v>
      </c>
      <c r="T170" s="172">
        <v>0</v>
      </c>
      <c r="U170" s="172">
        <v>0</v>
      </c>
      <c r="V170" s="172">
        <v>0</v>
      </c>
      <c r="W170" s="172">
        <v>0</v>
      </c>
      <c r="X170" s="474">
        <v>0</v>
      </c>
      <c r="Y170" s="503">
        <v>0</v>
      </c>
    </row>
    <row r="171" spans="1:25" ht="15" outlineLevel="2">
      <c r="A171" s="46" t="s">
        <v>343</v>
      </c>
      <c r="B171" s="32">
        <f t="shared" si="158"/>
        <v>166</v>
      </c>
      <c r="C171" s="10" t="s">
        <v>321</v>
      </c>
      <c r="D171" s="10" t="s">
        <v>344</v>
      </c>
      <c r="E171" s="133">
        <v>2000</v>
      </c>
      <c r="F171" s="134">
        <v>1208.06</v>
      </c>
      <c r="G171" s="158">
        <v>2000</v>
      </c>
      <c r="H171" s="158">
        <v>560.08000000000004</v>
      </c>
      <c r="I171" s="158">
        <v>1000</v>
      </c>
      <c r="J171" s="158">
        <v>986.08</v>
      </c>
      <c r="K171" s="158">
        <v>4000</v>
      </c>
      <c r="L171" s="158">
        <v>587.95000000000005</v>
      </c>
      <c r="M171" s="158">
        <v>4000</v>
      </c>
      <c r="N171" s="158">
        <v>600</v>
      </c>
      <c r="O171" s="172">
        <v>253.25</v>
      </c>
      <c r="P171" s="172">
        <v>253.25</v>
      </c>
      <c r="Q171" s="172">
        <v>571.24</v>
      </c>
      <c r="R171" s="172">
        <v>571.24</v>
      </c>
      <c r="S171" s="172">
        <v>571.24</v>
      </c>
      <c r="T171" s="172">
        <v>571.24</v>
      </c>
      <c r="U171" s="172">
        <v>571.24</v>
      </c>
      <c r="V171" s="172">
        <v>571.24</v>
      </c>
      <c r="W171" s="172">
        <v>571.24</v>
      </c>
      <c r="X171" s="474">
        <v>571.24</v>
      </c>
      <c r="Y171" s="503">
        <v>571.24</v>
      </c>
    </row>
    <row r="172" spans="1:25" ht="15" outlineLevel="2">
      <c r="A172" s="46" t="s">
        <v>345</v>
      </c>
      <c r="B172" s="32">
        <f t="shared" si="158"/>
        <v>167</v>
      </c>
      <c r="C172" s="10" t="s">
        <v>323</v>
      </c>
      <c r="D172" s="10" t="s">
        <v>346</v>
      </c>
      <c r="E172" s="136">
        <v>2000</v>
      </c>
      <c r="F172" s="137">
        <v>0</v>
      </c>
      <c r="G172" s="159">
        <v>2000</v>
      </c>
      <c r="H172" s="159">
        <v>0</v>
      </c>
      <c r="I172" s="159">
        <v>3000</v>
      </c>
      <c r="J172" s="159">
        <v>0</v>
      </c>
      <c r="K172" s="159">
        <v>2000</v>
      </c>
      <c r="L172" s="159">
        <v>0</v>
      </c>
      <c r="M172" s="159">
        <v>2000</v>
      </c>
      <c r="N172" s="159">
        <v>0</v>
      </c>
      <c r="O172" s="172">
        <v>0</v>
      </c>
      <c r="P172" s="172">
        <v>0</v>
      </c>
      <c r="Q172" s="172">
        <v>0</v>
      </c>
      <c r="R172" s="172">
        <v>0</v>
      </c>
      <c r="S172" s="172">
        <v>0</v>
      </c>
      <c r="T172" s="172">
        <v>0</v>
      </c>
      <c r="U172" s="172">
        <v>0</v>
      </c>
      <c r="V172" s="172">
        <v>0</v>
      </c>
      <c r="W172" s="172">
        <v>0</v>
      </c>
      <c r="X172" s="474">
        <v>0</v>
      </c>
      <c r="Y172" s="503">
        <v>0</v>
      </c>
    </row>
    <row r="173" spans="1:25" ht="15" outlineLevel="1">
      <c r="B173" s="29">
        <f t="shared" si="158"/>
        <v>168</v>
      </c>
      <c r="H173" s="13"/>
      <c r="O173" s="13"/>
      <c r="P173" s="13"/>
      <c r="Q173" s="168"/>
      <c r="R173" s="168"/>
      <c r="S173" s="168"/>
      <c r="T173" s="168"/>
      <c r="U173" s="168"/>
      <c r="V173" s="168"/>
      <c r="W173" s="168"/>
      <c r="X173" s="469"/>
      <c r="Y173" s="498"/>
    </row>
    <row r="174" spans="1:25" ht="15" outlineLevel="1">
      <c r="A174" s="45" t="s">
        <v>347</v>
      </c>
      <c r="B174" s="31">
        <f t="shared" si="158"/>
        <v>169</v>
      </c>
      <c r="C174" s="9"/>
      <c r="D174" s="9" t="s">
        <v>348</v>
      </c>
      <c r="E174" s="138">
        <f t="shared" ref="E174:G174" si="198">SUBTOTAL(9,E175:E181)</f>
        <v>49100</v>
      </c>
      <c r="F174" s="139">
        <f t="shared" si="198"/>
        <v>5988.9299999999994</v>
      </c>
      <c r="G174" s="160">
        <f t="shared" si="198"/>
        <v>52910</v>
      </c>
      <c r="H174" s="160">
        <v>9955.7900000000009</v>
      </c>
      <c r="I174" s="160">
        <v>118814</v>
      </c>
      <c r="J174" s="160">
        <v>25630.39</v>
      </c>
      <c r="K174" s="160">
        <f t="shared" ref="K174:O174" si="199">SUBTOTAL(9,K175:K181)</f>
        <v>35000</v>
      </c>
      <c r="L174" s="160">
        <v>12815.32</v>
      </c>
      <c r="M174" s="160">
        <v>35000</v>
      </c>
      <c r="N174" s="160">
        <f>SUBTOTAL(9,N175:N181)</f>
        <v>35000</v>
      </c>
      <c r="O174" s="171">
        <f t="shared" si="199"/>
        <v>4304.54</v>
      </c>
      <c r="P174" s="171">
        <f t="shared" ref="P174" si="200">SUBTOTAL(9,P175:P181)</f>
        <v>4818.1900000000005</v>
      </c>
      <c r="Q174" s="171">
        <f t="shared" ref="Q174:R174" si="201">SUBTOTAL(9,Q175:Q181)</f>
        <v>4958.1900000000005</v>
      </c>
      <c r="R174" s="171">
        <f t="shared" si="201"/>
        <v>6257.62</v>
      </c>
      <c r="S174" s="171">
        <f t="shared" ref="S174:T174" si="202">SUBTOTAL(9,S175:S181)</f>
        <v>6732.43</v>
      </c>
      <c r="T174" s="171">
        <f t="shared" si="202"/>
        <v>6732.43</v>
      </c>
      <c r="U174" s="171">
        <f t="shared" ref="U174" si="203">SUBTOTAL(9,U175:U181)</f>
        <v>8291.23</v>
      </c>
      <c r="V174" s="171">
        <f t="shared" ref="V174:W174" si="204">SUBTOTAL(9,V175:V181)</f>
        <v>8746.18</v>
      </c>
      <c r="W174" s="171">
        <f t="shared" si="204"/>
        <v>5937.54</v>
      </c>
      <c r="X174" s="473">
        <v>6137.54</v>
      </c>
      <c r="Y174" s="502">
        <v>6472.54</v>
      </c>
    </row>
    <row r="175" spans="1:25" ht="15" outlineLevel="2">
      <c r="A175" s="46" t="s">
        <v>349</v>
      </c>
      <c r="B175" s="32">
        <f t="shared" si="158"/>
        <v>170</v>
      </c>
      <c r="C175" s="10" t="s">
        <v>350</v>
      </c>
      <c r="D175" s="12" t="s">
        <v>351</v>
      </c>
      <c r="E175" s="133">
        <v>1150</v>
      </c>
      <c r="F175" s="134">
        <v>0</v>
      </c>
      <c r="G175" s="158">
        <v>9180</v>
      </c>
      <c r="H175" s="158">
        <v>129.25</v>
      </c>
      <c r="I175" s="158">
        <v>19390</v>
      </c>
      <c r="J175" s="158">
        <v>837.26800000000003</v>
      </c>
      <c r="K175" s="158">
        <v>3000</v>
      </c>
      <c r="L175" s="158">
        <v>200</v>
      </c>
      <c r="M175" s="158">
        <v>3000</v>
      </c>
      <c r="N175" s="158">
        <v>3000</v>
      </c>
      <c r="O175" s="172">
        <v>0</v>
      </c>
      <c r="P175" s="172">
        <v>0</v>
      </c>
      <c r="Q175" s="172">
        <v>0</v>
      </c>
      <c r="R175" s="172">
        <v>0</v>
      </c>
      <c r="S175" s="172">
        <v>0</v>
      </c>
      <c r="T175" s="172">
        <v>0</v>
      </c>
      <c r="U175" s="172">
        <v>0</v>
      </c>
      <c r="V175" s="172">
        <v>0</v>
      </c>
      <c r="W175" s="172">
        <v>0</v>
      </c>
      <c r="X175" s="474">
        <v>200</v>
      </c>
      <c r="Y175" s="503">
        <v>400</v>
      </c>
    </row>
    <row r="176" spans="1:25" ht="15" outlineLevel="2">
      <c r="A176" s="46" t="s">
        <v>352</v>
      </c>
      <c r="B176" s="32">
        <f t="shared" si="158"/>
        <v>171</v>
      </c>
      <c r="C176" s="10" t="s">
        <v>353</v>
      </c>
      <c r="D176" s="12" t="s">
        <v>354</v>
      </c>
      <c r="E176" s="133">
        <v>8050</v>
      </c>
      <c r="F176" s="134">
        <v>4792.2</v>
      </c>
      <c r="G176" s="158">
        <v>10200</v>
      </c>
      <c r="H176" s="158">
        <v>904.75</v>
      </c>
      <c r="I176" s="158">
        <v>13770</v>
      </c>
      <c r="J176" s="158">
        <v>5860.8760000000002</v>
      </c>
      <c r="K176" s="158">
        <v>8000</v>
      </c>
      <c r="L176" s="158">
        <v>600</v>
      </c>
      <c r="M176" s="158">
        <v>8000</v>
      </c>
      <c r="N176" s="158">
        <v>8000</v>
      </c>
      <c r="O176" s="172">
        <v>0</v>
      </c>
      <c r="P176" s="172">
        <v>0</v>
      </c>
      <c r="Q176" s="172">
        <v>0</v>
      </c>
      <c r="R176" s="172">
        <v>0</v>
      </c>
      <c r="S176" s="172">
        <v>0</v>
      </c>
      <c r="T176" s="172">
        <v>0</v>
      </c>
      <c r="U176" s="172">
        <v>0</v>
      </c>
      <c r="V176" s="172">
        <v>0</v>
      </c>
      <c r="W176" s="172">
        <v>0</v>
      </c>
      <c r="X176" s="474">
        <v>0</v>
      </c>
      <c r="Y176" s="503">
        <v>0</v>
      </c>
    </row>
    <row r="177" spans="1:25" ht="15" outlineLevel="2">
      <c r="A177" s="46" t="s">
        <v>355</v>
      </c>
      <c r="B177" s="32">
        <f t="shared" si="158"/>
        <v>172</v>
      </c>
      <c r="C177" s="10" t="s">
        <v>356</v>
      </c>
      <c r="D177" s="12" t="s">
        <v>357</v>
      </c>
      <c r="E177" s="133">
        <v>2300</v>
      </c>
      <c r="F177" s="134">
        <v>0</v>
      </c>
      <c r="G177" s="158">
        <v>3850</v>
      </c>
      <c r="H177" s="158">
        <v>258.5</v>
      </c>
      <c r="I177" s="158">
        <v>2900</v>
      </c>
      <c r="J177" s="158">
        <v>1674.5360000000001</v>
      </c>
      <c r="K177" s="158">
        <v>2500</v>
      </c>
      <c r="L177" s="158">
        <v>130.04</v>
      </c>
      <c r="M177" s="158">
        <v>2500</v>
      </c>
      <c r="N177" s="158">
        <v>2500</v>
      </c>
      <c r="O177" s="172">
        <v>0</v>
      </c>
      <c r="P177" s="172">
        <v>0</v>
      </c>
      <c r="Q177" s="172">
        <v>0</v>
      </c>
      <c r="R177" s="172">
        <v>0</v>
      </c>
      <c r="S177" s="172">
        <v>90</v>
      </c>
      <c r="T177" s="172">
        <v>90</v>
      </c>
      <c r="U177" s="172">
        <v>90</v>
      </c>
      <c r="V177" s="172">
        <v>90</v>
      </c>
      <c r="W177" s="172">
        <v>90</v>
      </c>
      <c r="X177" s="474">
        <v>90</v>
      </c>
      <c r="Y177" s="503">
        <v>90</v>
      </c>
    </row>
    <row r="178" spans="1:25" ht="15" outlineLevel="2">
      <c r="A178" s="46" t="s">
        <v>358</v>
      </c>
      <c r="B178" s="32">
        <f t="shared" si="158"/>
        <v>173</v>
      </c>
      <c r="C178" s="10" t="s">
        <v>359</v>
      </c>
      <c r="D178" s="12" t="s">
        <v>360</v>
      </c>
      <c r="E178" s="133">
        <v>13500</v>
      </c>
      <c r="F178" s="134">
        <v>541</v>
      </c>
      <c r="G178" s="158">
        <v>10100</v>
      </c>
      <c r="H178" s="158">
        <v>2250.41</v>
      </c>
      <c r="I178" s="158">
        <v>2548</v>
      </c>
      <c r="J178" s="158">
        <v>3464.84</v>
      </c>
      <c r="K178" s="158">
        <v>5000</v>
      </c>
      <c r="L178" s="158">
        <v>1164.3999999999999</v>
      </c>
      <c r="M178" s="158">
        <v>5000</v>
      </c>
      <c r="N178" s="158">
        <v>5000</v>
      </c>
      <c r="O178" s="172">
        <v>1353.54</v>
      </c>
      <c r="P178" s="172">
        <v>1353.54</v>
      </c>
      <c r="Q178" s="172">
        <v>1353.54</v>
      </c>
      <c r="R178" s="172">
        <v>1353.54</v>
      </c>
      <c r="S178" s="172">
        <v>1353.54</v>
      </c>
      <c r="T178" s="172">
        <v>1353.54</v>
      </c>
      <c r="U178" s="172">
        <v>1353.54</v>
      </c>
      <c r="V178" s="172">
        <v>1353.54</v>
      </c>
      <c r="W178" s="172">
        <v>1353.54</v>
      </c>
      <c r="X178" s="474">
        <v>1353.54</v>
      </c>
      <c r="Y178" s="503">
        <v>1353.54</v>
      </c>
    </row>
    <row r="179" spans="1:25" ht="15" outlineLevel="2">
      <c r="A179" s="46" t="s">
        <v>361</v>
      </c>
      <c r="B179" s="32">
        <f t="shared" si="158"/>
        <v>174</v>
      </c>
      <c r="C179" s="10" t="s">
        <v>362</v>
      </c>
      <c r="D179" s="12" t="s">
        <v>363</v>
      </c>
      <c r="E179" s="133">
        <v>22000</v>
      </c>
      <c r="F179" s="134">
        <v>468</v>
      </c>
      <c r="G179" s="158">
        <v>4730</v>
      </c>
      <c r="H179" s="158">
        <v>6246.4</v>
      </c>
      <c r="I179" s="158">
        <v>22791</v>
      </c>
      <c r="J179" s="158">
        <v>12115.64</v>
      </c>
      <c r="K179" s="158">
        <v>10000</v>
      </c>
      <c r="L179" s="158">
        <v>9319</v>
      </c>
      <c r="M179" s="158">
        <v>10000</v>
      </c>
      <c r="N179" s="158">
        <v>10000</v>
      </c>
      <c r="O179" s="172">
        <v>1886</v>
      </c>
      <c r="P179" s="172">
        <f>398.65+1886</f>
        <v>2284.65</v>
      </c>
      <c r="Q179" s="172">
        <f>398.65+1886</f>
        <v>2284.65</v>
      </c>
      <c r="R179" s="172">
        <f>1698.08+1886</f>
        <v>3584.08</v>
      </c>
      <c r="S179" s="172">
        <f>1984.89+1886</f>
        <v>3870.8900000000003</v>
      </c>
      <c r="T179" s="172">
        <f>1984.89+1886</f>
        <v>3870.8900000000003</v>
      </c>
      <c r="U179" s="172">
        <f>2603.69+1886</f>
        <v>4489.6900000000005</v>
      </c>
      <c r="V179" s="172">
        <f>2858.64+1886</f>
        <v>4744.6399999999994</v>
      </c>
      <c r="W179" s="172">
        <v>1886</v>
      </c>
      <c r="X179" s="474">
        <v>1886</v>
      </c>
      <c r="Y179" s="503">
        <v>1886</v>
      </c>
    </row>
    <row r="180" spans="1:25" ht="15" outlineLevel="2">
      <c r="A180" s="46" t="s">
        <v>364</v>
      </c>
      <c r="B180" s="32">
        <f t="shared" si="158"/>
        <v>175</v>
      </c>
      <c r="C180" s="10"/>
      <c r="D180" s="12" t="s">
        <v>365</v>
      </c>
      <c r="E180" s="133">
        <v>0</v>
      </c>
      <c r="F180" s="134">
        <v>0</v>
      </c>
      <c r="G180" s="158">
        <v>3150</v>
      </c>
      <c r="H180" s="158">
        <v>0</v>
      </c>
      <c r="I180" s="158">
        <v>9025</v>
      </c>
      <c r="J180" s="158"/>
      <c r="K180" s="158">
        <v>1500</v>
      </c>
      <c r="L180" s="158">
        <v>0</v>
      </c>
      <c r="M180" s="158">
        <v>1500</v>
      </c>
      <c r="N180" s="158">
        <v>1500</v>
      </c>
      <c r="O180" s="172">
        <v>0</v>
      </c>
      <c r="P180" s="172">
        <v>0</v>
      </c>
      <c r="Q180" s="172">
        <v>0</v>
      </c>
      <c r="R180" s="172">
        <v>0</v>
      </c>
      <c r="S180" s="172">
        <v>0</v>
      </c>
      <c r="T180" s="172">
        <v>0</v>
      </c>
      <c r="U180" s="172">
        <v>0</v>
      </c>
      <c r="V180" s="172">
        <v>0</v>
      </c>
      <c r="W180" s="172">
        <v>0</v>
      </c>
      <c r="X180" s="474">
        <v>0</v>
      </c>
      <c r="Y180" s="503">
        <v>0</v>
      </c>
    </row>
    <row r="181" spans="1:25" ht="15" outlineLevel="2">
      <c r="A181" s="46" t="s">
        <v>366</v>
      </c>
      <c r="B181" s="32">
        <f t="shared" si="158"/>
        <v>176</v>
      </c>
      <c r="C181" s="10" t="s">
        <v>367</v>
      </c>
      <c r="D181" s="12" t="s">
        <v>346</v>
      </c>
      <c r="E181" s="136">
        <v>2100</v>
      </c>
      <c r="F181" s="137">
        <v>187.73</v>
      </c>
      <c r="G181" s="159">
        <v>11700</v>
      </c>
      <c r="H181" s="159">
        <v>166.48</v>
      </c>
      <c r="I181" s="159">
        <v>48390</v>
      </c>
      <c r="J181" s="159">
        <v>1677.23</v>
      </c>
      <c r="K181" s="159">
        <v>5000</v>
      </c>
      <c r="L181" s="159">
        <v>1401.88</v>
      </c>
      <c r="M181" s="159">
        <v>5000</v>
      </c>
      <c r="N181" s="159">
        <v>5000</v>
      </c>
      <c r="O181" s="172">
        <v>1065</v>
      </c>
      <c r="P181" s="172">
        <v>1180</v>
      </c>
      <c r="Q181" s="172">
        <v>1320</v>
      </c>
      <c r="R181" s="172">
        <v>1320</v>
      </c>
      <c r="S181" s="172">
        <v>1418</v>
      </c>
      <c r="T181" s="172">
        <v>1418</v>
      </c>
      <c r="U181" s="172">
        <v>2358</v>
      </c>
      <c r="V181" s="172">
        <v>2558</v>
      </c>
      <c r="W181" s="172">
        <v>2608</v>
      </c>
      <c r="X181" s="474">
        <v>2608</v>
      </c>
      <c r="Y181" s="503">
        <v>2743</v>
      </c>
    </row>
    <row r="182" spans="1:25" ht="15" outlineLevel="1">
      <c r="B182" s="29">
        <f t="shared" si="158"/>
        <v>177</v>
      </c>
      <c r="H182" s="13"/>
      <c r="O182" s="13"/>
      <c r="P182" s="13"/>
      <c r="Q182" s="168"/>
      <c r="R182" s="168"/>
      <c r="S182" s="168"/>
      <c r="T182" s="168"/>
      <c r="U182" s="168"/>
      <c r="V182" s="168"/>
      <c r="W182" s="168"/>
      <c r="X182" s="469"/>
      <c r="Y182" s="498"/>
    </row>
    <row r="183" spans="1:25" ht="15" outlineLevel="1">
      <c r="A183" s="45" t="s">
        <v>368</v>
      </c>
      <c r="B183" s="31">
        <f>ROW(B178)</f>
        <v>178</v>
      </c>
      <c r="C183" s="9"/>
      <c r="D183" s="9" t="s">
        <v>369</v>
      </c>
      <c r="E183" s="138">
        <v>152900</v>
      </c>
      <c r="F183" s="139">
        <v>118054.28</v>
      </c>
      <c r="G183" s="160">
        <v>162715</v>
      </c>
      <c r="H183" s="160">
        <v>68750.69</v>
      </c>
      <c r="I183" s="160">
        <v>137090</v>
      </c>
      <c r="J183" s="160">
        <v>73500.489999999991</v>
      </c>
      <c r="K183" s="160">
        <f>SUBTOTAL(9,K184:K225)</f>
        <v>120350</v>
      </c>
      <c r="L183" s="160">
        <v>75628.17</v>
      </c>
      <c r="M183" s="160">
        <v>120350</v>
      </c>
      <c r="N183" s="160">
        <f>SUBTOTAL(9,N184:N225)</f>
        <v>112550</v>
      </c>
      <c r="O183" s="171">
        <f t="shared" ref="O183" si="205">SUBTOTAL(9,O184:O225)</f>
        <v>2838</v>
      </c>
      <c r="P183" s="171">
        <f t="shared" ref="P183" si="206">SUBTOTAL(9,P184:P225)</f>
        <v>4086</v>
      </c>
      <c r="Q183" s="171">
        <f t="shared" ref="Q183:R183" si="207">SUBTOTAL(9,Q184:Q225)</f>
        <v>7364</v>
      </c>
      <c r="R183" s="171">
        <f t="shared" si="207"/>
        <v>7660.5</v>
      </c>
      <c r="S183" s="171">
        <f t="shared" ref="S183:T183" si="208">SUBTOTAL(9,S184:S225)</f>
        <v>15151.05</v>
      </c>
      <c r="T183" s="171">
        <f t="shared" si="208"/>
        <v>31439.38</v>
      </c>
      <c r="U183" s="171">
        <f t="shared" ref="U183" si="209">SUBTOTAL(9,U184:U225)</f>
        <v>35590.239999999998</v>
      </c>
      <c r="V183" s="171">
        <f t="shared" ref="V183:W183" si="210">SUBTOTAL(9,V184:V225)</f>
        <v>39348.720000000001</v>
      </c>
      <c r="W183" s="171">
        <f t="shared" si="210"/>
        <v>40387.61</v>
      </c>
      <c r="X183" s="473">
        <v>40387.61</v>
      </c>
      <c r="Y183" s="502">
        <v>52552.95</v>
      </c>
    </row>
    <row r="184" spans="1:25" ht="15" outlineLevel="2">
      <c r="A184" s="46" t="s">
        <v>370</v>
      </c>
      <c r="B184" s="34">
        <f>ROW(B179)</f>
        <v>179</v>
      </c>
      <c r="C184" s="10"/>
      <c r="D184" s="10" t="s">
        <v>351</v>
      </c>
      <c r="E184" s="142">
        <v>96200</v>
      </c>
      <c r="F184" s="114">
        <v>112777.58</v>
      </c>
      <c r="G184" s="161">
        <v>121565</v>
      </c>
      <c r="H184" s="161">
        <v>44481.83</v>
      </c>
      <c r="I184" s="161">
        <v>108510</v>
      </c>
      <c r="J184" s="161">
        <v>48016.43</v>
      </c>
      <c r="K184" s="161">
        <f>SUBTOTAL(9,K185:K189)</f>
        <v>90750</v>
      </c>
      <c r="L184" s="161">
        <v>70636.25</v>
      </c>
      <c r="M184" s="161">
        <v>90750</v>
      </c>
      <c r="N184" s="161">
        <f>SUBTOTAL(9,N185:N189)</f>
        <v>90750</v>
      </c>
      <c r="O184" s="175">
        <f t="shared" ref="O184" si="211">SUBTOTAL(9,O185:O189)</f>
        <v>2640</v>
      </c>
      <c r="P184" s="175">
        <f t="shared" ref="P184" si="212">SUBTOTAL(9,P185:P189)</f>
        <v>3520</v>
      </c>
      <c r="Q184" s="175">
        <f t="shared" ref="Q184:R184" si="213">SUBTOTAL(9,Q185:Q189)</f>
        <v>6600</v>
      </c>
      <c r="R184" s="175">
        <f t="shared" si="213"/>
        <v>6698.5</v>
      </c>
      <c r="S184" s="175">
        <f t="shared" ref="S184:T184" si="214">SUBTOTAL(9,S185:S189)</f>
        <v>12787.5</v>
      </c>
      <c r="T184" s="175">
        <f t="shared" si="214"/>
        <v>28632.5</v>
      </c>
      <c r="U184" s="175">
        <f t="shared" ref="U184" si="215">SUBTOTAL(9,U185:U189)</f>
        <v>32372.5</v>
      </c>
      <c r="V184" s="175">
        <f t="shared" ref="V184:W184" si="216">SUBTOTAL(9,V185:V189)</f>
        <v>34902.5</v>
      </c>
      <c r="W184" s="175">
        <f t="shared" si="216"/>
        <v>34902.5</v>
      </c>
      <c r="X184" s="477">
        <v>34902.5</v>
      </c>
      <c r="Y184" s="506">
        <v>45782.5</v>
      </c>
    </row>
    <row r="185" spans="1:25" ht="15" outlineLevel="3">
      <c r="A185" s="47" t="s">
        <v>371</v>
      </c>
      <c r="B185" s="33">
        <f>ROW(B180)</f>
        <v>180</v>
      </c>
      <c r="C185" s="10" t="s">
        <v>372</v>
      </c>
      <c r="D185" s="12" t="s">
        <v>301</v>
      </c>
      <c r="E185" s="133">
        <v>31500</v>
      </c>
      <c r="F185" s="134">
        <v>41821.25</v>
      </c>
      <c r="G185" s="158">
        <v>45600</v>
      </c>
      <c r="H185" s="158">
        <v>22789.38</v>
      </c>
      <c r="I185" s="158">
        <v>40000</v>
      </c>
      <c r="J185" s="158">
        <v>25505.375</v>
      </c>
      <c r="K185" s="158">
        <v>43750</v>
      </c>
      <c r="L185" s="158">
        <v>38662.5</v>
      </c>
      <c r="M185" s="158">
        <v>43750</v>
      </c>
      <c r="N185" s="158">
        <v>43750</v>
      </c>
      <c r="O185" s="172">
        <v>0</v>
      </c>
      <c r="P185" s="172">
        <v>0</v>
      </c>
      <c r="Q185" s="172">
        <v>0</v>
      </c>
      <c r="R185" s="172">
        <v>0</v>
      </c>
      <c r="S185" s="172">
        <v>5362.5</v>
      </c>
      <c r="T185" s="172">
        <v>12807.5</v>
      </c>
      <c r="U185" s="172">
        <v>16547.5</v>
      </c>
      <c r="V185" s="172">
        <v>16547.5</v>
      </c>
      <c r="W185" s="172">
        <v>16547.5</v>
      </c>
      <c r="X185" s="474">
        <v>16547.5</v>
      </c>
      <c r="Y185" s="503">
        <v>25997.5</v>
      </c>
    </row>
    <row r="186" spans="1:25" ht="15" outlineLevel="3">
      <c r="A186" s="47" t="s">
        <v>373</v>
      </c>
      <c r="B186" s="33">
        <f>ROW(B181)</f>
        <v>181</v>
      </c>
      <c r="C186" s="10" t="s">
        <v>374</v>
      </c>
      <c r="D186" s="12" t="s">
        <v>304</v>
      </c>
      <c r="E186" s="133">
        <v>2100</v>
      </c>
      <c r="F186" s="134">
        <v>4544.7</v>
      </c>
      <c r="G186" s="158">
        <v>8510</v>
      </c>
      <c r="H186" s="158">
        <v>2037</v>
      </c>
      <c r="I186" s="158">
        <v>8510</v>
      </c>
      <c r="J186" s="158">
        <v>2310</v>
      </c>
      <c r="K186" s="158">
        <v>4000</v>
      </c>
      <c r="L186" s="158">
        <v>990</v>
      </c>
      <c r="M186" s="158">
        <v>4000</v>
      </c>
      <c r="N186" s="158">
        <v>4000</v>
      </c>
      <c r="O186" s="172">
        <v>0</v>
      </c>
      <c r="P186" s="172">
        <v>0</v>
      </c>
      <c r="Q186" s="172">
        <v>0</v>
      </c>
      <c r="R186" s="172">
        <v>0</v>
      </c>
      <c r="S186" s="172">
        <v>0</v>
      </c>
      <c r="T186" s="172">
        <v>0</v>
      </c>
      <c r="U186" s="172">
        <v>0</v>
      </c>
      <c r="V186" s="172">
        <v>0</v>
      </c>
      <c r="W186" s="172">
        <v>0</v>
      </c>
      <c r="X186" s="474">
        <v>0</v>
      </c>
      <c r="Y186" s="503">
        <v>0</v>
      </c>
    </row>
    <row r="187" spans="1:25" ht="15" outlineLevel="3">
      <c r="A187" s="47" t="s">
        <v>375</v>
      </c>
      <c r="B187" s="33">
        <f>ROW(B182)</f>
        <v>182</v>
      </c>
      <c r="C187" s="10" t="s">
        <v>376</v>
      </c>
      <c r="D187" s="12" t="s">
        <v>307</v>
      </c>
      <c r="E187" s="133">
        <v>22000</v>
      </c>
      <c r="F187" s="134">
        <v>22905</v>
      </c>
      <c r="G187" s="158">
        <v>24540</v>
      </c>
      <c r="H187" s="158">
        <v>73.5</v>
      </c>
      <c r="I187" s="158">
        <v>23000</v>
      </c>
      <c r="J187" s="158">
        <v>0</v>
      </c>
      <c r="K187" s="158">
        <v>5000</v>
      </c>
      <c r="L187" s="158">
        <v>0</v>
      </c>
      <c r="M187" s="158">
        <v>5000</v>
      </c>
      <c r="N187" s="158">
        <v>5000</v>
      </c>
      <c r="O187" s="172">
        <v>0</v>
      </c>
      <c r="P187" s="172">
        <v>0</v>
      </c>
      <c r="Q187" s="172">
        <v>0</v>
      </c>
      <c r="R187" s="172">
        <v>0</v>
      </c>
      <c r="S187" s="172">
        <v>0</v>
      </c>
      <c r="T187" s="172">
        <v>0</v>
      </c>
      <c r="U187" s="172">
        <v>0</v>
      </c>
      <c r="V187" s="172">
        <v>0</v>
      </c>
      <c r="W187" s="172">
        <v>0</v>
      </c>
      <c r="X187" s="474">
        <v>0</v>
      </c>
      <c r="Y187" s="503">
        <v>0</v>
      </c>
    </row>
    <row r="188" spans="1:25" ht="15" outlineLevel="3">
      <c r="A188" s="47" t="s">
        <v>377</v>
      </c>
      <c r="B188" s="33">
        <f t="shared" ref="B188:B251" si="217">ROW(B183)</f>
        <v>183</v>
      </c>
      <c r="C188" s="10" t="s">
        <v>378</v>
      </c>
      <c r="D188" s="12" t="s">
        <v>310</v>
      </c>
      <c r="E188" s="133">
        <v>29400</v>
      </c>
      <c r="F188" s="134">
        <v>25892.880000000001</v>
      </c>
      <c r="G188" s="158">
        <v>25715</v>
      </c>
      <c r="H188" s="158">
        <v>14884.95</v>
      </c>
      <c r="I188" s="158">
        <v>22000</v>
      </c>
      <c r="J188" s="158">
        <v>15581.055</v>
      </c>
      <c r="K188" s="158">
        <v>25000</v>
      </c>
      <c r="L188" s="158">
        <v>25703.75</v>
      </c>
      <c r="M188" s="158">
        <v>25000</v>
      </c>
      <c r="N188" s="158">
        <v>25000</v>
      </c>
      <c r="O188" s="172">
        <v>0</v>
      </c>
      <c r="P188" s="172">
        <v>880</v>
      </c>
      <c r="Q188" s="172">
        <v>1760</v>
      </c>
      <c r="R188" s="172">
        <v>1858.5</v>
      </c>
      <c r="S188" s="172">
        <v>2585</v>
      </c>
      <c r="T188" s="172">
        <v>10985</v>
      </c>
      <c r="U188" s="172">
        <v>10985</v>
      </c>
      <c r="V188" s="172">
        <v>10985</v>
      </c>
      <c r="W188" s="172">
        <v>10985</v>
      </c>
      <c r="X188" s="474">
        <v>10985</v>
      </c>
      <c r="Y188" s="503">
        <v>10985</v>
      </c>
    </row>
    <row r="189" spans="1:25" ht="15" outlineLevel="3">
      <c r="A189" s="47" t="s">
        <v>379</v>
      </c>
      <c r="B189" s="33">
        <f t="shared" si="217"/>
        <v>184</v>
      </c>
      <c r="C189" s="10" t="s">
        <v>380</v>
      </c>
      <c r="D189" s="12" t="s">
        <v>313</v>
      </c>
      <c r="E189" s="133">
        <v>11200</v>
      </c>
      <c r="F189" s="134">
        <v>17613.75</v>
      </c>
      <c r="G189" s="158">
        <v>17200</v>
      </c>
      <c r="H189" s="158">
        <v>4697</v>
      </c>
      <c r="I189" s="158">
        <v>15000</v>
      </c>
      <c r="J189" s="158">
        <v>4620</v>
      </c>
      <c r="K189" s="158">
        <v>13000</v>
      </c>
      <c r="L189" s="158">
        <v>5280</v>
      </c>
      <c r="M189" s="158">
        <v>13000</v>
      </c>
      <c r="N189" s="158">
        <v>13000</v>
      </c>
      <c r="O189" s="172">
        <v>2640</v>
      </c>
      <c r="P189" s="172">
        <v>2640</v>
      </c>
      <c r="Q189" s="172">
        <v>4840</v>
      </c>
      <c r="R189" s="172">
        <v>4840</v>
      </c>
      <c r="S189" s="172">
        <v>4840</v>
      </c>
      <c r="T189" s="172">
        <v>4840</v>
      </c>
      <c r="U189" s="172">
        <v>4840</v>
      </c>
      <c r="V189" s="172">
        <v>7370</v>
      </c>
      <c r="W189" s="172">
        <v>7370</v>
      </c>
      <c r="X189" s="474">
        <v>7370</v>
      </c>
      <c r="Y189" s="503">
        <v>8800</v>
      </c>
    </row>
    <row r="190" spans="1:25" ht="15" outlineLevel="2">
      <c r="A190" s="46" t="s">
        <v>381</v>
      </c>
      <c r="B190" s="34">
        <f t="shared" si="217"/>
        <v>185</v>
      </c>
      <c r="C190" s="10"/>
      <c r="D190" s="10" t="s">
        <v>354</v>
      </c>
      <c r="E190" s="142">
        <v>15450</v>
      </c>
      <c r="F190" s="114">
        <v>0</v>
      </c>
      <c r="G190" s="161">
        <v>10140</v>
      </c>
      <c r="H190" s="161">
        <v>9531.82</v>
      </c>
      <c r="I190" s="161">
        <v>5640</v>
      </c>
      <c r="J190" s="161">
        <v>10289.235000000001</v>
      </c>
      <c r="K190" s="161">
        <f>SUBTOTAL(9,K191:K195)</f>
        <v>8000</v>
      </c>
      <c r="L190" s="161">
        <v>0</v>
      </c>
      <c r="M190" s="161">
        <v>8000</v>
      </c>
      <c r="N190" s="161">
        <f>SUBTOTAL(9,N191:N195)</f>
        <v>6000</v>
      </c>
      <c r="O190" s="175">
        <f t="shared" ref="O190" si="218">SUBTOTAL(9,O191:O195)</f>
        <v>0</v>
      </c>
      <c r="P190" s="175">
        <f t="shared" ref="P190" si="219">SUBTOTAL(9,P191:P195)</f>
        <v>0</v>
      </c>
      <c r="Q190" s="175">
        <f t="shared" ref="Q190:R190" si="220">SUBTOTAL(9,Q191:Q195)</f>
        <v>0</v>
      </c>
      <c r="R190" s="175">
        <f t="shared" si="220"/>
        <v>0</v>
      </c>
      <c r="S190" s="175">
        <f t="shared" ref="S190:T190" si="221">SUBTOTAL(9,S191:S195)</f>
        <v>0</v>
      </c>
      <c r="T190" s="175">
        <f t="shared" si="221"/>
        <v>0</v>
      </c>
      <c r="U190" s="175">
        <f t="shared" ref="U190" si="222">SUBTOTAL(9,U191:U195)</f>
        <v>0</v>
      </c>
      <c r="V190" s="175">
        <f t="shared" ref="V190:W190" si="223">SUBTOTAL(9,V191:V195)</f>
        <v>0</v>
      </c>
      <c r="W190" s="175">
        <f t="shared" si="223"/>
        <v>800</v>
      </c>
      <c r="X190" s="477">
        <v>800</v>
      </c>
      <c r="Y190" s="506">
        <v>1000</v>
      </c>
    </row>
    <row r="191" spans="1:25" ht="15" outlineLevel="3">
      <c r="A191" s="47" t="s">
        <v>382</v>
      </c>
      <c r="B191" s="33">
        <f t="shared" si="217"/>
        <v>186</v>
      </c>
      <c r="C191" s="10" t="s">
        <v>383</v>
      </c>
      <c r="D191" s="12" t="s">
        <v>301</v>
      </c>
      <c r="E191" s="133">
        <v>6750</v>
      </c>
      <c r="F191" s="134">
        <v>0</v>
      </c>
      <c r="G191" s="158">
        <v>2000</v>
      </c>
      <c r="H191" s="158">
        <v>4883.4399999999996</v>
      </c>
      <c r="I191" s="158">
        <v>1000</v>
      </c>
      <c r="J191" s="158">
        <v>5465.4375</v>
      </c>
      <c r="K191" s="158">
        <v>1000</v>
      </c>
      <c r="L191" s="158">
        <v>0</v>
      </c>
      <c r="M191" s="158">
        <v>1000</v>
      </c>
      <c r="N191" s="158">
        <v>1000</v>
      </c>
      <c r="O191" s="172">
        <v>0</v>
      </c>
      <c r="P191" s="172">
        <v>0</v>
      </c>
      <c r="Q191" s="172">
        <v>0</v>
      </c>
      <c r="R191" s="172">
        <v>0</v>
      </c>
      <c r="S191" s="172">
        <v>0</v>
      </c>
      <c r="T191" s="172">
        <v>0</v>
      </c>
      <c r="U191" s="172">
        <v>0</v>
      </c>
      <c r="V191" s="172">
        <v>0</v>
      </c>
      <c r="W191" s="172">
        <v>0</v>
      </c>
      <c r="X191" s="474">
        <v>0</v>
      </c>
      <c r="Y191" s="503">
        <v>0</v>
      </c>
    </row>
    <row r="192" spans="1:25" ht="15" outlineLevel="3">
      <c r="A192" s="47" t="s">
        <v>384</v>
      </c>
      <c r="B192" s="33">
        <f t="shared" si="217"/>
        <v>187</v>
      </c>
      <c r="C192" s="10" t="s">
        <v>385</v>
      </c>
      <c r="D192" s="12" t="s">
        <v>304</v>
      </c>
      <c r="E192" s="133">
        <v>600</v>
      </c>
      <c r="F192" s="134">
        <v>0</v>
      </c>
      <c r="G192" s="158">
        <v>2640</v>
      </c>
      <c r="H192" s="158">
        <v>436.5</v>
      </c>
      <c r="I192" s="158">
        <v>2640</v>
      </c>
      <c r="J192" s="158">
        <v>495</v>
      </c>
      <c r="K192" s="158">
        <v>2000</v>
      </c>
      <c r="L192" s="158">
        <v>0</v>
      </c>
      <c r="M192" s="158">
        <v>2000</v>
      </c>
      <c r="N192" s="158">
        <v>1000</v>
      </c>
      <c r="O192" s="172">
        <v>0</v>
      </c>
      <c r="P192" s="172">
        <v>0</v>
      </c>
      <c r="Q192" s="172">
        <v>0</v>
      </c>
      <c r="R192" s="172">
        <v>0</v>
      </c>
      <c r="S192" s="172">
        <v>0</v>
      </c>
      <c r="T192" s="172">
        <v>0</v>
      </c>
      <c r="U192" s="172">
        <v>0</v>
      </c>
      <c r="V192" s="172">
        <v>0</v>
      </c>
      <c r="W192" s="172">
        <v>0</v>
      </c>
      <c r="X192" s="474">
        <v>0</v>
      </c>
      <c r="Y192" s="503">
        <v>0</v>
      </c>
    </row>
    <row r="193" spans="1:29" ht="15" outlineLevel="3">
      <c r="A193" s="47" t="s">
        <v>386</v>
      </c>
      <c r="B193" s="33">
        <f t="shared" si="217"/>
        <v>188</v>
      </c>
      <c r="C193" s="10" t="s">
        <v>387</v>
      </c>
      <c r="D193" s="12" t="s">
        <v>307</v>
      </c>
      <c r="E193" s="133">
        <v>0</v>
      </c>
      <c r="F193" s="134">
        <v>0</v>
      </c>
      <c r="G193" s="158">
        <v>2000</v>
      </c>
      <c r="H193" s="158">
        <v>15.75</v>
      </c>
      <c r="I193" s="158">
        <v>2000</v>
      </c>
      <c r="J193" s="158">
        <v>0</v>
      </c>
      <c r="K193" s="158">
        <v>1000</v>
      </c>
      <c r="L193" s="158">
        <v>0</v>
      </c>
      <c r="M193" s="158">
        <v>1000</v>
      </c>
      <c r="N193" s="158">
        <v>1000</v>
      </c>
      <c r="O193" s="172">
        <v>0</v>
      </c>
      <c r="P193" s="172">
        <v>0</v>
      </c>
      <c r="Q193" s="172">
        <v>0</v>
      </c>
      <c r="R193" s="172">
        <v>0</v>
      </c>
      <c r="S193" s="172">
        <v>0</v>
      </c>
      <c r="T193" s="172">
        <v>0</v>
      </c>
      <c r="U193" s="172">
        <v>0</v>
      </c>
      <c r="V193" s="172">
        <v>0</v>
      </c>
      <c r="W193" s="172">
        <v>0</v>
      </c>
      <c r="X193" s="474">
        <v>0</v>
      </c>
      <c r="Y193" s="503">
        <v>0</v>
      </c>
    </row>
    <row r="194" spans="1:29" ht="15" outlineLevel="3">
      <c r="A194" s="47" t="s">
        <v>388</v>
      </c>
      <c r="B194" s="33">
        <f t="shared" si="217"/>
        <v>189</v>
      </c>
      <c r="C194" s="10" t="s">
        <v>389</v>
      </c>
      <c r="D194" s="12" t="s">
        <v>310</v>
      </c>
      <c r="E194" s="133">
        <v>6300</v>
      </c>
      <c r="F194" s="134">
        <v>0</v>
      </c>
      <c r="G194" s="158">
        <v>2500</v>
      </c>
      <c r="H194" s="158">
        <v>3189.63</v>
      </c>
      <c r="I194" s="158">
        <v>0</v>
      </c>
      <c r="J194" s="158">
        <v>3338.7975000000001</v>
      </c>
      <c r="K194" s="158">
        <v>3000</v>
      </c>
      <c r="L194" s="158">
        <v>0</v>
      </c>
      <c r="M194" s="158">
        <v>3000</v>
      </c>
      <c r="N194" s="158">
        <v>2000</v>
      </c>
      <c r="O194" s="172">
        <v>0</v>
      </c>
      <c r="P194" s="172">
        <v>0</v>
      </c>
      <c r="Q194" s="172">
        <v>0</v>
      </c>
      <c r="R194" s="172">
        <v>0</v>
      </c>
      <c r="S194" s="172">
        <v>0</v>
      </c>
      <c r="T194" s="172">
        <v>0</v>
      </c>
      <c r="U194" s="172">
        <v>0</v>
      </c>
      <c r="V194" s="172">
        <v>0</v>
      </c>
      <c r="W194" s="172">
        <v>800</v>
      </c>
      <c r="X194" s="474">
        <v>800</v>
      </c>
      <c r="Y194" s="503">
        <v>1000</v>
      </c>
      <c r="AC194" s="391"/>
    </row>
    <row r="195" spans="1:29" ht="15" outlineLevel="3">
      <c r="A195" s="47" t="s">
        <v>390</v>
      </c>
      <c r="B195" s="33">
        <f t="shared" si="217"/>
        <v>190</v>
      </c>
      <c r="C195" s="10" t="s">
        <v>391</v>
      </c>
      <c r="D195" s="12" t="s">
        <v>313</v>
      </c>
      <c r="E195" s="133">
        <v>1800</v>
      </c>
      <c r="F195" s="134">
        <v>0</v>
      </c>
      <c r="G195" s="158">
        <v>1000</v>
      </c>
      <c r="H195" s="158">
        <v>1006.5</v>
      </c>
      <c r="I195" s="158">
        <v>0</v>
      </c>
      <c r="J195" s="158">
        <v>990</v>
      </c>
      <c r="K195" s="158">
        <v>1000</v>
      </c>
      <c r="L195" s="158">
        <v>0</v>
      </c>
      <c r="M195" s="158">
        <v>1000</v>
      </c>
      <c r="N195" s="158">
        <v>1000</v>
      </c>
      <c r="O195" s="172">
        <v>0</v>
      </c>
      <c r="P195" s="172">
        <v>0</v>
      </c>
      <c r="Q195" s="172">
        <v>0</v>
      </c>
      <c r="R195" s="172">
        <v>0</v>
      </c>
      <c r="S195" s="172">
        <v>0</v>
      </c>
      <c r="T195" s="172">
        <v>0</v>
      </c>
      <c r="U195" s="172">
        <v>0</v>
      </c>
      <c r="V195" s="172">
        <v>0</v>
      </c>
      <c r="W195" s="172">
        <v>0</v>
      </c>
      <c r="X195" s="474">
        <v>0</v>
      </c>
      <c r="Y195" s="503">
        <v>0</v>
      </c>
    </row>
    <row r="196" spans="1:29" ht="15" outlineLevel="2">
      <c r="A196" s="46" t="s">
        <v>392</v>
      </c>
      <c r="B196" s="34">
        <f t="shared" si="217"/>
        <v>191</v>
      </c>
      <c r="C196" s="10"/>
      <c r="D196" s="10" t="s">
        <v>357</v>
      </c>
      <c r="E196" s="142">
        <v>16350</v>
      </c>
      <c r="F196" s="114">
        <v>0</v>
      </c>
      <c r="G196" s="161">
        <v>2000</v>
      </c>
      <c r="H196" s="161">
        <v>9531.82</v>
      </c>
      <c r="I196" s="161">
        <v>1100</v>
      </c>
      <c r="J196" s="161">
        <v>10289.235000000001</v>
      </c>
      <c r="K196" s="161">
        <f>SUBTOTAL(9,K197:K201)</f>
        <v>2800</v>
      </c>
      <c r="L196" s="161">
        <v>0</v>
      </c>
      <c r="M196" s="161">
        <v>2800</v>
      </c>
      <c r="N196" s="161">
        <f>SUBTOTAL(9,N197:N201)</f>
        <v>2000</v>
      </c>
      <c r="O196" s="175">
        <f t="shared" ref="O196" si="224">SUBTOTAL(9,O197:O201)</f>
        <v>0</v>
      </c>
      <c r="P196" s="175">
        <f t="shared" ref="P196" si="225">SUBTOTAL(9,P197:P201)</f>
        <v>0</v>
      </c>
      <c r="Q196" s="175">
        <f t="shared" ref="Q196:R196" si="226">SUBTOTAL(9,Q197:Q201)</f>
        <v>0</v>
      </c>
      <c r="R196" s="175">
        <f t="shared" si="226"/>
        <v>0</v>
      </c>
      <c r="S196" s="175">
        <f t="shared" ref="S196:T196" si="227">SUBTOTAL(9,S197:S201)</f>
        <v>0</v>
      </c>
      <c r="T196" s="175">
        <f t="shared" si="227"/>
        <v>0</v>
      </c>
      <c r="U196" s="175">
        <f t="shared" ref="U196" si="228">SUBTOTAL(9,U197:U201)</f>
        <v>0</v>
      </c>
      <c r="V196" s="175">
        <f t="shared" ref="V196:W196" si="229">SUBTOTAL(9,V197:V201)</f>
        <v>0</v>
      </c>
      <c r="W196" s="175">
        <f t="shared" si="229"/>
        <v>0</v>
      </c>
      <c r="X196" s="477">
        <v>0</v>
      </c>
      <c r="Y196" s="506">
        <v>0</v>
      </c>
    </row>
    <row r="197" spans="1:29" ht="15" outlineLevel="3">
      <c r="A197" s="47" t="s">
        <v>393</v>
      </c>
      <c r="B197" s="33">
        <f t="shared" si="217"/>
        <v>192</v>
      </c>
      <c r="C197" s="10" t="s">
        <v>383</v>
      </c>
      <c r="D197" s="12" t="s">
        <v>301</v>
      </c>
      <c r="E197" s="133">
        <v>6750</v>
      </c>
      <c r="F197" s="134">
        <v>0</v>
      </c>
      <c r="G197" s="158">
        <f>[1]WiWi!E17</f>
        <v>1100</v>
      </c>
      <c r="H197" s="158">
        <v>4883.4399999999996</v>
      </c>
      <c r="I197" s="158">
        <v>500</v>
      </c>
      <c r="J197" s="158">
        <v>5465.4375</v>
      </c>
      <c r="K197" s="158">
        <v>500</v>
      </c>
      <c r="L197" s="158">
        <v>0</v>
      </c>
      <c r="M197" s="158">
        <v>500</v>
      </c>
      <c r="N197" s="158">
        <v>500</v>
      </c>
      <c r="O197" s="172">
        <v>0</v>
      </c>
      <c r="P197" s="172">
        <v>0</v>
      </c>
      <c r="Q197" s="172">
        <v>0</v>
      </c>
      <c r="R197" s="172">
        <v>0</v>
      </c>
      <c r="S197" s="172">
        <v>0</v>
      </c>
      <c r="T197" s="172">
        <v>0</v>
      </c>
      <c r="U197" s="172">
        <v>0</v>
      </c>
      <c r="V197" s="172">
        <v>0</v>
      </c>
      <c r="W197" s="172">
        <v>0</v>
      </c>
      <c r="X197" s="474">
        <v>0</v>
      </c>
      <c r="Y197" s="503">
        <v>0</v>
      </c>
    </row>
    <row r="198" spans="1:29" ht="15" outlineLevel="3">
      <c r="A198" s="47" t="s">
        <v>394</v>
      </c>
      <c r="B198" s="33">
        <f t="shared" si="217"/>
        <v>193</v>
      </c>
      <c r="C198" s="10" t="s">
        <v>385</v>
      </c>
      <c r="D198" s="12" t="s">
        <v>304</v>
      </c>
      <c r="E198" s="133">
        <v>300</v>
      </c>
      <c r="F198" s="134">
        <v>0</v>
      </c>
      <c r="G198" s="158">
        <v>100</v>
      </c>
      <c r="H198" s="158">
        <v>436.5</v>
      </c>
      <c r="I198" s="158">
        <v>100</v>
      </c>
      <c r="J198" s="158">
        <v>495</v>
      </c>
      <c r="K198" s="158">
        <v>500</v>
      </c>
      <c r="L198" s="158">
        <v>0</v>
      </c>
      <c r="M198" s="158">
        <v>500</v>
      </c>
      <c r="N198" s="158">
        <v>500</v>
      </c>
      <c r="O198" s="172">
        <v>0</v>
      </c>
      <c r="P198" s="172">
        <v>0</v>
      </c>
      <c r="Q198" s="172">
        <v>0</v>
      </c>
      <c r="R198" s="172">
        <v>0</v>
      </c>
      <c r="S198" s="172">
        <v>0</v>
      </c>
      <c r="T198" s="172">
        <v>0</v>
      </c>
      <c r="U198" s="172">
        <v>0</v>
      </c>
      <c r="V198" s="172">
        <v>0</v>
      </c>
      <c r="W198" s="172">
        <v>0</v>
      </c>
      <c r="X198" s="474">
        <v>0</v>
      </c>
      <c r="Y198" s="503">
        <v>0</v>
      </c>
    </row>
    <row r="199" spans="1:29" ht="15" outlineLevel="3">
      <c r="A199" s="47" t="s">
        <v>395</v>
      </c>
      <c r="B199" s="33">
        <f t="shared" si="217"/>
        <v>194</v>
      </c>
      <c r="C199" s="10" t="s">
        <v>387</v>
      </c>
      <c r="D199" s="12" t="s">
        <v>307</v>
      </c>
      <c r="E199" s="133">
        <v>1000</v>
      </c>
      <c r="F199" s="134">
        <v>0</v>
      </c>
      <c r="G199" s="158">
        <v>100</v>
      </c>
      <c r="H199" s="158">
        <v>15.75</v>
      </c>
      <c r="I199" s="158">
        <v>500</v>
      </c>
      <c r="J199" s="158">
        <v>0</v>
      </c>
      <c r="K199" s="158">
        <v>500</v>
      </c>
      <c r="L199" s="158">
        <v>0</v>
      </c>
      <c r="M199" s="158">
        <v>500</v>
      </c>
      <c r="N199" s="158">
        <v>500</v>
      </c>
      <c r="O199" s="172">
        <v>0</v>
      </c>
      <c r="P199" s="172">
        <v>0</v>
      </c>
      <c r="Q199" s="172">
        <v>0</v>
      </c>
      <c r="R199" s="172">
        <v>0</v>
      </c>
      <c r="S199" s="172">
        <v>0</v>
      </c>
      <c r="T199" s="172">
        <v>0</v>
      </c>
      <c r="U199" s="172">
        <v>0</v>
      </c>
      <c r="V199" s="172">
        <v>0</v>
      </c>
      <c r="W199" s="172">
        <v>0</v>
      </c>
      <c r="X199" s="474">
        <v>0</v>
      </c>
      <c r="Y199" s="503">
        <v>0</v>
      </c>
    </row>
    <row r="200" spans="1:29" ht="15" outlineLevel="3">
      <c r="A200" s="47" t="s">
        <v>396</v>
      </c>
      <c r="B200" s="33">
        <f t="shared" si="217"/>
        <v>195</v>
      </c>
      <c r="C200" s="10" t="s">
        <v>389</v>
      </c>
      <c r="D200" s="12" t="s">
        <v>310</v>
      </c>
      <c r="E200" s="133">
        <v>6300</v>
      </c>
      <c r="F200" s="134">
        <v>0</v>
      </c>
      <c r="G200" s="158">
        <v>500</v>
      </c>
      <c r="H200" s="158">
        <v>3189.63</v>
      </c>
      <c r="I200" s="158">
        <v>0</v>
      </c>
      <c r="J200" s="158">
        <v>3338.7975000000001</v>
      </c>
      <c r="K200" s="158">
        <v>1000</v>
      </c>
      <c r="L200" s="158">
        <v>0</v>
      </c>
      <c r="M200" s="158">
        <v>1000</v>
      </c>
      <c r="N200" s="158">
        <v>200</v>
      </c>
      <c r="O200" s="172">
        <v>0</v>
      </c>
      <c r="P200" s="172">
        <v>0</v>
      </c>
      <c r="Q200" s="172">
        <v>0</v>
      </c>
      <c r="R200" s="172">
        <v>0</v>
      </c>
      <c r="S200" s="172">
        <v>0</v>
      </c>
      <c r="T200" s="172">
        <v>0</v>
      </c>
      <c r="U200" s="172">
        <v>0</v>
      </c>
      <c r="V200" s="172">
        <v>0</v>
      </c>
      <c r="W200" s="172">
        <v>0</v>
      </c>
      <c r="X200" s="474">
        <v>0</v>
      </c>
      <c r="Y200" s="503">
        <v>0</v>
      </c>
    </row>
    <row r="201" spans="1:29" ht="15" outlineLevel="3">
      <c r="A201" s="47" t="s">
        <v>397</v>
      </c>
      <c r="B201" s="33">
        <f t="shared" si="217"/>
        <v>196</v>
      </c>
      <c r="C201" s="10" t="s">
        <v>391</v>
      </c>
      <c r="D201" s="12" t="s">
        <v>313</v>
      </c>
      <c r="E201" s="133">
        <v>2000</v>
      </c>
      <c r="F201" s="134">
        <v>0</v>
      </c>
      <c r="G201" s="158">
        <v>200</v>
      </c>
      <c r="H201" s="158">
        <v>1006.5</v>
      </c>
      <c r="I201" s="158">
        <v>0</v>
      </c>
      <c r="J201" s="158">
        <v>990</v>
      </c>
      <c r="K201" s="158">
        <v>300</v>
      </c>
      <c r="L201" s="158">
        <v>0</v>
      </c>
      <c r="M201" s="158">
        <v>300</v>
      </c>
      <c r="N201" s="158">
        <v>300</v>
      </c>
      <c r="O201" s="172">
        <v>0</v>
      </c>
      <c r="P201" s="172">
        <v>0</v>
      </c>
      <c r="Q201" s="172">
        <v>0</v>
      </c>
      <c r="R201" s="172">
        <v>0</v>
      </c>
      <c r="S201" s="172">
        <v>0</v>
      </c>
      <c r="T201" s="172">
        <v>0</v>
      </c>
      <c r="U201" s="172">
        <v>0</v>
      </c>
      <c r="V201" s="172">
        <v>0</v>
      </c>
      <c r="W201" s="172">
        <v>0</v>
      </c>
      <c r="X201" s="474">
        <v>0</v>
      </c>
      <c r="Y201" s="503">
        <v>0</v>
      </c>
    </row>
    <row r="202" spans="1:29" ht="15" outlineLevel="2">
      <c r="A202" s="46" t="s">
        <v>398</v>
      </c>
      <c r="B202" s="34">
        <f t="shared" si="217"/>
        <v>197</v>
      </c>
      <c r="C202" s="10"/>
      <c r="D202" s="10" t="s">
        <v>399</v>
      </c>
      <c r="E202" s="142">
        <v>2900</v>
      </c>
      <c r="F202" s="114">
        <v>0</v>
      </c>
      <c r="G202" s="161">
        <v>3040</v>
      </c>
      <c r="H202" s="161">
        <v>134.06</v>
      </c>
      <c r="I202" s="161">
        <v>1290</v>
      </c>
      <c r="J202" s="161">
        <v>41.31</v>
      </c>
      <c r="K202" s="161">
        <f>SUBTOTAL(9,K203:K207)</f>
        <v>2700</v>
      </c>
      <c r="L202" s="161">
        <v>944.53</v>
      </c>
      <c r="M202" s="161">
        <v>2700</v>
      </c>
      <c r="N202" s="161">
        <f>SUBTOTAL(9,N203:N207)</f>
        <v>2400</v>
      </c>
      <c r="O202" s="175">
        <f t="shared" ref="O202" si="230">SUBTOTAL(9,O203:O207)</f>
        <v>0</v>
      </c>
      <c r="P202" s="175">
        <f t="shared" ref="P202" si="231">SUBTOTAL(9,P203:P207)</f>
        <v>0</v>
      </c>
      <c r="Q202" s="175">
        <f t="shared" ref="Q202:R202" si="232">SUBTOTAL(9,Q203:Q207)</f>
        <v>0</v>
      </c>
      <c r="R202" s="175">
        <f t="shared" si="232"/>
        <v>0</v>
      </c>
      <c r="S202" s="175">
        <f t="shared" ref="S202:T202" si="233">SUBTOTAL(9,S203:S207)</f>
        <v>615.68000000000006</v>
      </c>
      <c r="T202" s="175">
        <f t="shared" si="233"/>
        <v>615.68000000000006</v>
      </c>
      <c r="U202" s="175">
        <f t="shared" ref="U202" si="234">SUBTOTAL(9,U203:U207)</f>
        <v>646.97</v>
      </c>
      <c r="V202" s="175">
        <f t="shared" ref="V202:W202" si="235">SUBTOTAL(9,V203:V207)</f>
        <v>646.97</v>
      </c>
      <c r="W202" s="175">
        <f t="shared" si="235"/>
        <v>646.97</v>
      </c>
      <c r="X202" s="477">
        <v>646.97</v>
      </c>
      <c r="Y202" s="506">
        <v>646.97</v>
      </c>
    </row>
    <row r="203" spans="1:29" ht="15" outlineLevel="3">
      <c r="A203" s="47" t="s">
        <v>400</v>
      </c>
      <c r="B203" s="33">
        <f t="shared" si="217"/>
        <v>198</v>
      </c>
      <c r="C203" s="10" t="s">
        <v>401</v>
      </c>
      <c r="D203" s="12" t="s">
        <v>301</v>
      </c>
      <c r="E203" s="133">
        <v>2100</v>
      </c>
      <c r="F203" s="134">
        <v>0</v>
      </c>
      <c r="G203" s="158">
        <v>1500</v>
      </c>
      <c r="H203" s="158">
        <v>134.06</v>
      </c>
      <c r="I203" s="158">
        <v>500</v>
      </c>
      <c r="J203" s="158">
        <v>41.31</v>
      </c>
      <c r="K203" s="158">
        <v>1500</v>
      </c>
      <c r="L203" s="158">
        <v>642.6</v>
      </c>
      <c r="M203" s="158">
        <v>1500</v>
      </c>
      <c r="N203" s="158">
        <v>500</v>
      </c>
      <c r="O203" s="172">
        <v>0</v>
      </c>
      <c r="P203" s="172">
        <v>0</v>
      </c>
      <c r="Q203" s="172">
        <v>0</v>
      </c>
      <c r="R203" s="172">
        <v>0</v>
      </c>
      <c r="S203" s="172">
        <v>0</v>
      </c>
      <c r="T203" s="172">
        <v>0</v>
      </c>
      <c r="U203" s="172">
        <v>0</v>
      </c>
      <c r="V203" s="172">
        <v>0</v>
      </c>
      <c r="W203" s="172">
        <v>0</v>
      </c>
      <c r="X203" s="474">
        <v>0</v>
      </c>
      <c r="Y203" s="503">
        <v>0</v>
      </c>
    </row>
    <row r="204" spans="1:29" ht="15" outlineLevel="3">
      <c r="A204" s="47" t="s">
        <v>402</v>
      </c>
      <c r="B204" s="33">
        <f t="shared" si="217"/>
        <v>199</v>
      </c>
      <c r="C204" s="10" t="s">
        <v>403</v>
      </c>
      <c r="D204" s="12" t="s">
        <v>304</v>
      </c>
      <c r="E204" s="133">
        <v>100</v>
      </c>
      <c r="F204" s="134">
        <v>0</v>
      </c>
      <c r="G204" s="158">
        <v>340</v>
      </c>
      <c r="H204" s="158">
        <v>0</v>
      </c>
      <c r="I204" s="158">
        <v>340</v>
      </c>
      <c r="J204" s="158">
        <v>0</v>
      </c>
      <c r="K204" s="158">
        <v>300</v>
      </c>
      <c r="L204" s="158">
        <v>72.430000000000007</v>
      </c>
      <c r="M204" s="158">
        <v>300</v>
      </c>
      <c r="N204" s="158">
        <v>300</v>
      </c>
      <c r="O204" s="172">
        <v>0</v>
      </c>
      <c r="P204" s="172">
        <v>0</v>
      </c>
      <c r="Q204" s="172">
        <v>0</v>
      </c>
      <c r="R204" s="172">
        <v>0</v>
      </c>
      <c r="S204" s="172">
        <v>0</v>
      </c>
      <c r="T204" s="172">
        <v>0</v>
      </c>
      <c r="U204" s="172">
        <v>0</v>
      </c>
      <c r="V204" s="172">
        <v>0</v>
      </c>
      <c r="W204" s="172">
        <v>0</v>
      </c>
      <c r="X204" s="474">
        <v>0</v>
      </c>
      <c r="Y204" s="503">
        <v>0</v>
      </c>
    </row>
    <row r="205" spans="1:29" ht="15" outlineLevel="3">
      <c r="A205" s="47" t="s">
        <v>404</v>
      </c>
      <c r="B205" s="33">
        <f t="shared" si="217"/>
        <v>200</v>
      </c>
      <c r="C205" s="10" t="s">
        <v>405</v>
      </c>
      <c r="D205" s="12" t="s">
        <v>307</v>
      </c>
      <c r="E205" s="133">
        <v>200</v>
      </c>
      <c r="F205" s="134">
        <v>0</v>
      </c>
      <c r="G205" s="158">
        <v>500</v>
      </c>
      <c r="H205" s="158">
        <v>0</v>
      </c>
      <c r="I205" s="158">
        <v>200</v>
      </c>
      <c r="J205" s="158">
        <v>0</v>
      </c>
      <c r="K205" s="158">
        <v>300</v>
      </c>
      <c r="L205" s="158">
        <v>0</v>
      </c>
      <c r="M205" s="158">
        <v>300</v>
      </c>
      <c r="N205" s="158">
        <v>300</v>
      </c>
      <c r="O205" s="172">
        <v>0</v>
      </c>
      <c r="P205" s="172">
        <v>0</v>
      </c>
      <c r="Q205" s="172">
        <v>0</v>
      </c>
      <c r="R205" s="172">
        <v>0</v>
      </c>
      <c r="S205" s="172">
        <v>0</v>
      </c>
      <c r="T205" s="172">
        <v>0</v>
      </c>
      <c r="U205" s="172">
        <v>0</v>
      </c>
      <c r="V205" s="172">
        <v>0</v>
      </c>
      <c r="W205" s="172">
        <v>0</v>
      </c>
      <c r="X205" s="474">
        <v>0</v>
      </c>
      <c r="Y205" s="503">
        <v>0</v>
      </c>
    </row>
    <row r="206" spans="1:29" ht="15" outlineLevel="3">
      <c r="A206" s="47" t="s">
        <v>406</v>
      </c>
      <c r="B206" s="33">
        <f t="shared" si="217"/>
        <v>201</v>
      </c>
      <c r="C206" s="10" t="s">
        <v>407</v>
      </c>
      <c r="D206" s="12" t="s">
        <v>310</v>
      </c>
      <c r="E206" s="133">
        <v>300</v>
      </c>
      <c r="F206" s="134">
        <v>0</v>
      </c>
      <c r="G206" s="158">
        <v>450</v>
      </c>
      <c r="H206" s="158">
        <v>0</v>
      </c>
      <c r="I206" s="158">
        <v>0</v>
      </c>
      <c r="J206" s="158">
        <v>0</v>
      </c>
      <c r="K206" s="158">
        <v>300</v>
      </c>
      <c r="L206" s="158">
        <v>229.5</v>
      </c>
      <c r="M206" s="158">
        <v>300</v>
      </c>
      <c r="N206" s="158">
        <v>1000</v>
      </c>
      <c r="O206" s="172">
        <v>0</v>
      </c>
      <c r="P206" s="172">
        <v>0</v>
      </c>
      <c r="Q206" s="172">
        <v>0</v>
      </c>
      <c r="R206" s="172">
        <v>0</v>
      </c>
      <c r="S206" s="172">
        <f>450.74+164.94</f>
        <v>615.68000000000006</v>
      </c>
      <c r="T206" s="172">
        <f>450.74+164.94</f>
        <v>615.68000000000006</v>
      </c>
      <c r="U206" s="172">
        <f>450.74+196.23</f>
        <v>646.97</v>
      </c>
      <c r="V206" s="172">
        <f>450.74+196.23</f>
        <v>646.97</v>
      </c>
      <c r="W206" s="172">
        <f>450.74+196.23</f>
        <v>646.97</v>
      </c>
      <c r="X206" s="474">
        <v>646.97</v>
      </c>
      <c r="Y206" s="503">
        <v>646.97</v>
      </c>
    </row>
    <row r="207" spans="1:29" ht="15" outlineLevel="3">
      <c r="A207" s="47" t="s">
        <v>408</v>
      </c>
      <c r="B207" s="33">
        <f t="shared" si="217"/>
        <v>202</v>
      </c>
      <c r="C207" s="10" t="s">
        <v>409</v>
      </c>
      <c r="D207" s="12" t="s">
        <v>313</v>
      </c>
      <c r="E207" s="133">
        <v>200</v>
      </c>
      <c r="F207" s="134">
        <v>0</v>
      </c>
      <c r="G207" s="158">
        <v>250</v>
      </c>
      <c r="H207" s="158">
        <v>0</v>
      </c>
      <c r="I207" s="158">
        <v>250</v>
      </c>
      <c r="J207" s="158">
        <v>0</v>
      </c>
      <c r="K207" s="158">
        <v>300</v>
      </c>
      <c r="L207" s="158">
        <v>0</v>
      </c>
      <c r="M207" s="158">
        <v>300</v>
      </c>
      <c r="N207" s="158">
        <v>300</v>
      </c>
      <c r="O207" s="172">
        <v>0</v>
      </c>
      <c r="P207" s="172">
        <v>0</v>
      </c>
      <c r="Q207" s="172">
        <v>0</v>
      </c>
      <c r="R207" s="172">
        <v>0</v>
      </c>
      <c r="S207" s="172">
        <v>0</v>
      </c>
      <c r="T207" s="172">
        <v>0</v>
      </c>
      <c r="U207" s="172">
        <v>0</v>
      </c>
      <c r="V207" s="172">
        <v>0</v>
      </c>
      <c r="W207" s="172">
        <v>0</v>
      </c>
      <c r="X207" s="474">
        <v>0</v>
      </c>
      <c r="Y207" s="503">
        <v>0</v>
      </c>
    </row>
    <row r="208" spans="1:29" ht="15" outlineLevel="2">
      <c r="A208" s="46" t="s">
        <v>410</v>
      </c>
      <c r="B208" s="34">
        <f t="shared" si="217"/>
        <v>203</v>
      </c>
      <c r="C208" s="10"/>
      <c r="D208" s="10" t="s">
        <v>411</v>
      </c>
      <c r="E208" s="142">
        <v>12000</v>
      </c>
      <c r="F208" s="114">
        <v>0</v>
      </c>
      <c r="G208" s="161">
        <v>4300</v>
      </c>
      <c r="H208" s="161">
        <v>160</v>
      </c>
      <c r="I208" s="161">
        <v>7250</v>
      </c>
      <c r="J208" s="161">
        <v>0</v>
      </c>
      <c r="K208" s="161">
        <f>SUBTOTAL(9,K209:K213)</f>
        <v>3500</v>
      </c>
      <c r="L208" s="161">
        <v>0</v>
      </c>
      <c r="M208" s="161">
        <v>3500</v>
      </c>
      <c r="N208" s="161">
        <f>SUBTOTAL(9,N209:N213)</f>
        <v>2200</v>
      </c>
      <c r="O208" s="175">
        <f t="shared" ref="O208" si="236">SUBTOTAL(9,O209:O213)</f>
        <v>0</v>
      </c>
      <c r="P208" s="175">
        <f t="shared" ref="P208" si="237">SUBTOTAL(9,P209:P213)</f>
        <v>0</v>
      </c>
      <c r="Q208" s="175">
        <f t="shared" ref="Q208:R208" si="238">SUBTOTAL(9,Q209:Q213)</f>
        <v>0</v>
      </c>
      <c r="R208" s="175">
        <f t="shared" si="238"/>
        <v>0</v>
      </c>
      <c r="S208" s="175">
        <f t="shared" ref="S208:T208" si="239">SUBTOTAL(9,S209:S213)</f>
        <v>0</v>
      </c>
      <c r="T208" s="175">
        <f t="shared" si="239"/>
        <v>0</v>
      </c>
      <c r="U208" s="175">
        <f t="shared" ref="U208" si="240">SUBTOTAL(9,U209:U213)</f>
        <v>0</v>
      </c>
      <c r="V208" s="175">
        <f t="shared" ref="V208:W208" si="241">SUBTOTAL(9,V209:V213)</f>
        <v>0</v>
      </c>
      <c r="W208" s="175">
        <f t="shared" si="241"/>
        <v>0</v>
      </c>
      <c r="X208" s="477">
        <v>0</v>
      </c>
      <c r="Y208" s="506">
        <v>0</v>
      </c>
    </row>
    <row r="209" spans="1:25" ht="15" outlineLevel="3">
      <c r="A209" s="47" t="s">
        <v>412</v>
      </c>
      <c r="B209" s="33">
        <f t="shared" si="217"/>
        <v>204</v>
      </c>
      <c r="C209" s="10" t="s">
        <v>413</v>
      </c>
      <c r="D209" s="12" t="s">
        <v>301</v>
      </c>
      <c r="E209" s="133">
        <v>4000</v>
      </c>
      <c r="F209" s="134">
        <v>0</v>
      </c>
      <c r="G209" s="158">
        <v>3000</v>
      </c>
      <c r="H209" s="158">
        <v>0</v>
      </c>
      <c r="I209" s="158">
        <v>500</v>
      </c>
      <c r="J209" s="158">
        <v>0</v>
      </c>
      <c r="K209" s="158">
        <v>500</v>
      </c>
      <c r="L209" s="158">
        <v>0</v>
      </c>
      <c r="M209" s="158">
        <v>500</v>
      </c>
      <c r="N209" s="158">
        <v>500</v>
      </c>
      <c r="O209" s="172">
        <v>0</v>
      </c>
      <c r="P209" s="172">
        <v>0</v>
      </c>
      <c r="Q209" s="172">
        <v>0</v>
      </c>
      <c r="R209" s="172">
        <v>0</v>
      </c>
      <c r="S209" s="172">
        <v>0</v>
      </c>
      <c r="T209" s="172">
        <v>0</v>
      </c>
      <c r="U209" s="172">
        <v>0</v>
      </c>
      <c r="V209" s="172">
        <v>0</v>
      </c>
      <c r="W209" s="172">
        <v>0</v>
      </c>
      <c r="X209" s="474">
        <v>0</v>
      </c>
      <c r="Y209" s="503">
        <v>0</v>
      </c>
    </row>
    <row r="210" spans="1:25" ht="15" outlineLevel="3">
      <c r="A210" s="47" t="s">
        <v>414</v>
      </c>
      <c r="B210" s="33">
        <f t="shared" si="217"/>
        <v>205</v>
      </c>
      <c r="C210" s="10" t="s">
        <v>415</v>
      </c>
      <c r="D210" s="12" t="s">
        <v>304</v>
      </c>
      <c r="E210" s="133">
        <v>500</v>
      </c>
      <c r="F210" s="134">
        <v>0</v>
      </c>
      <c r="G210" s="158">
        <v>200</v>
      </c>
      <c r="H210" s="158">
        <v>0</v>
      </c>
      <c r="I210" s="158">
        <v>4500</v>
      </c>
      <c r="J210" s="158">
        <v>0</v>
      </c>
      <c r="K210" s="158">
        <v>500</v>
      </c>
      <c r="L210" s="158">
        <v>0</v>
      </c>
      <c r="M210" s="158">
        <v>500</v>
      </c>
      <c r="N210" s="158">
        <v>500</v>
      </c>
      <c r="O210" s="172">
        <v>0</v>
      </c>
      <c r="P210" s="172">
        <v>0</v>
      </c>
      <c r="Q210" s="172">
        <v>0</v>
      </c>
      <c r="R210" s="172">
        <v>0</v>
      </c>
      <c r="S210" s="172">
        <v>0</v>
      </c>
      <c r="T210" s="172">
        <v>0</v>
      </c>
      <c r="U210" s="172">
        <v>0</v>
      </c>
      <c r="V210" s="172">
        <v>0</v>
      </c>
      <c r="W210" s="172">
        <v>0</v>
      </c>
      <c r="X210" s="474">
        <v>0</v>
      </c>
      <c r="Y210" s="503">
        <v>0</v>
      </c>
    </row>
    <row r="211" spans="1:25" ht="15" outlineLevel="3">
      <c r="A211" s="47" t="s">
        <v>416</v>
      </c>
      <c r="B211" s="33">
        <f t="shared" si="217"/>
        <v>206</v>
      </c>
      <c r="C211" s="10" t="s">
        <v>417</v>
      </c>
      <c r="D211" s="12" t="s">
        <v>307</v>
      </c>
      <c r="E211" s="133">
        <v>2000</v>
      </c>
      <c r="F211" s="134">
        <v>0</v>
      </c>
      <c r="G211" s="158">
        <v>600</v>
      </c>
      <c r="H211" s="158">
        <v>0</v>
      </c>
      <c r="I211" s="158">
        <v>500</v>
      </c>
      <c r="J211" s="158">
        <v>0</v>
      </c>
      <c r="K211" s="158">
        <v>500</v>
      </c>
      <c r="L211" s="158">
        <v>0</v>
      </c>
      <c r="M211" s="158">
        <v>500</v>
      </c>
      <c r="N211" s="158">
        <v>500</v>
      </c>
      <c r="O211" s="172">
        <v>0</v>
      </c>
      <c r="P211" s="172">
        <v>0</v>
      </c>
      <c r="Q211" s="172">
        <v>0</v>
      </c>
      <c r="R211" s="172">
        <v>0</v>
      </c>
      <c r="S211" s="172">
        <v>0</v>
      </c>
      <c r="T211" s="172">
        <v>0</v>
      </c>
      <c r="U211" s="172">
        <v>0</v>
      </c>
      <c r="V211" s="172">
        <v>0</v>
      </c>
      <c r="W211" s="172">
        <v>0</v>
      </c>
      <c r="X211" s="474">
        <v>0</v>
      </c>
      <c r="Y211" s="503">
        <v>0</v>
      </c>
    </row>
    <row r="212" spans="1:25" ht="15" outlineLevel="3">
      <c r="A212" s="47" t="s">
        <v>418</v>
      </c>
      <c r="B212" s="33">
        <f t="shared" si="217"/>
        <v>207</v>
      </c>
      <c r="C212" s="10" t="s">
        <v>419</v>
      </c>
      <c r="D212" s="12" t="s">
        <v>310</v>
      </c>
      <c r="E212" s="133">
        <v>4000</v>
      </c>
      <c r="F212" s="134">
        <v>0</v>
      </c>
      <c r="G212" s="158">
        <v>400</v>
      </c>
      <c r="H212" s="158">
        <v>0</v>
      </c>
      <c r="I212" s="158">
        <v>1500</v>
      </c>
      <c r="J212" s="158">
        <v>0</v>
      </c>
      <c r="K212" s="158">
        <v>1500</v>
      </c>
      <c r="L212" s="158">
        <v>0</v>
      </c>
      <c r="M212" s="158">
        <v>1500</v>
      </c>
      <c r="N212" s="158">
        <v>200</v>
      </c>
      <c r="O212" s="172">
        <v>0</v>
      </c>
      <c r="P212" s="172">
        <v>0</v>
      </c>
      <c r="Q212" s="172">
        <v>0</v>
      </c>
      <c r="R212" s="172">
        <v>0</v>
      </c>
      <c r="S212" s="172">
        <v>0</v>
      </c>
      <c r="T212" s="172">
        <v>0</v>
      </c>
      <c r="U212" s="172">
        <v>0</v>
      </c>
      <c r="V212" s="172">
        <v>0</v>
      </c>
      <c r="W212" s="172">
        <v>0</v>
      </c>
      <c r="X212" s="474">
        <v>0</v>
      </c>
      <c r="Y212" s="503">
        <v>0</v>
      </c>
    </row>
    <row r="213" spans="1:25" ht="15" outlineLevel="3">
      <c r="A213" s="47" t="s">
        <v>420</v>
      </c>
      <c r="B213" s="33">
        <f t="shared" si="217"/>
        <v>208</v>
      </c>
      <c r="C213" s="10" t="s">
        <v>421</v>
      </c>
      <c r="D213" s="12" t="s">
        <v>313</v>
      </c>
      <c r="E213" s="133">
        <v>1500</v>
      </c>
      <c r="F213" s="134">
        <v>0</v>
      </c>
      <c r="G213" s="158">
        <v>100</v>
      </c>
      <c r="H213" s="158">
        <v>160</v>
      </c>
      <c r="I213" s="158">
        <v>250</v>
      </c>
      <c r="J213" s="158">
        <v>0</v>
      </c>
      <c r="K213" s="158">
        <v>500</v>
      </c>
      <c r="L213" s="158">
        <v>0</v>
      </c>
      <c r="M213" s="158">
        <v>500</v>
      </c>
      <c r="N213" s="158">
        <v>500</v>
      </c>
      <c r="O213" s="172">
        <v>0</v>
      </c>
      <c r="P213" s="172">
        <v>0</v>
      </c>
      <c r="Q213" s="172">
        <v>0</v>
      </c>
      <c r="R213" s="172">
        <v>0</v>
      </c>
      <c r="S213" s="172">
        <v>0</v>
      </c>
      <c r="T213" s="172">
        <v>0</v>
      </c>
      <c r="U213" s="172">
        <v>0</v>
      </c>
      <c r="V213" s="172">
        <v>0</v>
      </c>
      <c r="W213" s="172">
        <v>0</v>
      </c>
      <c r="X213" s="474">
        <v>0</v>
      </c>
      <c r="Y213" s="503">
        <v>0</v>
      </c>
    </row>
    <row r="214" spans="1:25" ht="15" outlineLevel="2">
      <c r="A214" s="46" t="s">
        <v>422</v>
      </c>
      <c r="B214" s="32">
        <f t="shared" si="217"/>
        <v>209</v>
      </c>
      <c r="C214" s="10"/>
      <c r="D214" s="10" t="s">
        <v>423</v>
      </c>
      <c r="E214" s="142">
        <v>0</v>
      </c>
      <c r="F214" s="114">
        <v>5276.7</v>
      </c>
      <c r="G214" s="161">
        <v>10720</v>
      </c>
      <c r="H214" s="161">
        <v>491.12</v>
      </c>
      <c r="I214" s="161">
        <v>5000</v>
      </c>
      <c r="J214" s="161">
        <v>486.42800000000005</v>
      </c>
      <c r="K214" s="161">
        <f>SUBTOTAL(9,K215:K219)</f>
        <v>6600</v>
      </c>
      <c r="L214" s="161">
        <v>228</v>
      </c>
      <c r="M214" s="161">
        <v>6600</v>
      </c>
      <c r="N214" s="161">
        <f>SUBTOTAL(9,N215:N219)</f>
        <v>2050</v>
      </c>
      <c r="O214" s="175">
        <f t="shared" ref="O214" si="242">SUBTOTAL(9,O215:O219)</f>
        <v>0</v>
      </c>
      <c r="P214" s="175">
        <f t="shared" ref="P214" si="243">SUBTOTAL(9,P215:P219)</f>
        <v>0</v>
      </c>
      <c r="Q214" s="175">
        <f t="shared" ref="Q214:R214" si="244">SUBTOTAL(9,Q215:Q219)</f>
        <v>0</v>
      </c>
      <c r="R214" s="175">
        <f t="shared" si="244"/>
        <v>0</v>
      </c>
      <c r="S214" s="175">
        <f t="shared" ref="S214:T214" si="245">SUBTOTAL(9,S215:S219)</f>
        <v>0</v>
      </c>
      <c r="T214" s="175">
        <f t="shared" si="245"/>
        <v>0</v>
      </c>
      <c r="U214" s="175">
        <f t="shared" ref="U214" si="246">SUBTOTAL(9,U215:U219)</f>
        <v>0</v>
      </c>
      <c r="V214" s="175">
        <f t="shared" ref="V214:W214" si="247">SUBTOTAL(9,V215:V219)</f>
        <v>0</v>
      </c>
      <c r="W214" s="175">
        <f t="shared" si="247"/>
        <v>0</v>
      </c>
      <c r="X214" s="477">
        <v>0</v>
      </c>
      <c r="Y214" s="506">
        <v>0</v>
      </c>
    </row>
    <row r="215" spans="1:25" ht="15" outlineLevel="3">
      <c r="A215" s="47" t="s">
        <v>424</v>
      </c>
      <c r="B215" s="33">
        <f t="shared" si="217"/>
        <v>210</v>
      </c>
      <c r="C215" s="10" t="s">
        <v>425</v>
      </c>
      <c r="D215" s="12" t="s">
        <v>301</v>
      </c>
      <c r="E215" s="133">
        <v>0</v>
      </c>
      <c r="F215" s="134">
        <v>2507.77</v>
      </c>
      <c r="G215" s="158">
        <v>4000</v>
      </c>
      <c r="H215" s="158">
        <v>241.4</v>
      </c>
      <c r="I215" s="158">
        <v>3500</v>
      </c>
      <c r="J215" s="158">
        <v>240.673</v>
      </c>
      <c r="K215" s="158">
        <v>5000</v>
      </c>
      <c r="L215" s="158">
        <v>228</v>
      </c>
      <c r="M215" s="158">
        <v>5000</v>
      </c>
      <c r="N215" s="158">
        <v>500</v>
      </c>
      <c r="O215" s="172">
        <v>0</v>
      </c>
      <c r="P215" s="172">
        <v>0</v>
      </c>
      <c r="Q215" s="172">
        <v>0</v>
      </c>
      <c r="R215" s="172">
        <v>0</v>
      </c>
      <c r="S215" s="172">
        <v>0</v>
      </c>
      <c r="T215" s="172">
        <v>0</v>
      </c>
      <c r="U215" s="172">
        <v>0</v>
      </c>
      <c r="V215" s="172">
        <v>0</v>
      </c>
      <c r="W215" s="172">
        <v>0</v>
      </c>
      <c r="X215" s="474">
        <v>0</v>
      </c>
      <c r="Y215" s="503">
        <v>0</v>
      </c>
    </row>
    <row r="216" spans="1:25" ht="15" outlineLevel="3">
      <c r="A216" s="47" t="s">
        <v>426</v>
      </c>
      <c r="B216" s="33">
        <f t="shared" si="217"/>
        <v>211</v>
      </c>
      <c r="C216" s="10" t="s">
        <v>427</v>
      </c>
      <c r="D216" s="12" t="s">
        <v>304</v>
      </c>
      <c r="E216" s="133">
        <v>0</v>
      </c>
      <c r="F216" s="134">
        <v>30</v>
      </c>
      <c r="G216" s="158">
        <v>1500</v>
      </c>
      <c r="H216" s="158">
        <v>24</v>
      </c>
      <c r="I216" s="158">
        <v>1500</v>
      </c>
      <c r="J216" s="158">
        <v>23.821000000000002</v>
      </c>
      <c r="K216" s="158">
        <v>500</v>
      </c>
      <c r="L216" s="158">
        <v>0</v>
      </c>
      <c r="M216" s="158">
        <v>500</v>
      </c>
      <c r="N216" s="158">
        <v>500</v>
      </c>
      <c r="O216" s="172">
        <v>0</v>
      </c>
      <c r="P216" s="172">
        <v>0</v>
      </c>
      <c r="Q216" s="172">
        <v>0</v>
      </c>
      <c r="R216" s="172">
        <v>0</v>
      </c>
      <c r="S216" s="172">
        <v>0</v>
      </c>
      <c r="T216" s="172">
        <v>0</v>
      </c>
      <c r="U216" s="172">
        <v>0</v>
      </c>
      <c r="V216" s="172">
        <v>0</v>
      </c>
      <c r="W216" s="172">
        <v>0</v>
      </c>
      <c r="X216" s="474">
        <v>0</v>
      </c>
      <c r="Y216" s="503">
        <v>0</v>
      </c>
    </row>
    <row r="217" spans="1:25" ht="15" outlineLevel="3">
      <c r="A217" s="47" t="s">
        <v>428</v>
      </c>
      <c r="B217" s="33">
        <f t="shared" si="217"/>
        <v>212</v>
      </c>
      <c r="C217" s="10" t="s">
        <v>429</v>
      </c>
      <c r="D217" s="12" t="s">
        <v>307</v>
      </c>
      <c r="E217" s="133">
        <v>0</v>
      </c>
      <c r="F217" s="134">
        <v>30</v>
      </c>
      <c r="G217" s="158">
        <v>2620</v>
      </c>
      <c r="H217" s="158">
        <v>3</v>
      </c>
      <c r="I217" s="158">
        <v>0</v>
      </c>
      <c r="J217" s="158">
        <v>0</v>
      </c>
      <c r="K217" s="158">
        <v>500</v>
      </c>
      <c r="L217" s="158">
        <v>0</v>
      </c>
      <c r="M217" s="158">
        <v>500</v>
      </c>
      <c r="N217" s="158">
        <v>500</v>
      </c>
      <c r="O217" s="172">
        <v>0</v>
      </c>
      <c r="P217" s="172">
        <v>0</v>
      </c>
      <c r="Q217" s="172">
        <v>0</v>
      </c>
      <c r="R217" s="172">
        <v>0</v>
      </c>
      <c r="S217" s="172">
        <v>0</v>
      </c>
      <c r="T217" s="172">
        <v>0</v>
      </c>
      <c r="U217" s="172">
        <v>0</v>
      </c>
      <c r="V217" s="172">
        <v>0</v>
      </c>
      <c r="W217" s="172">
        <v>0</v>
      </c>
      <c r="X217" s="474">
        <v>0</v>
      </c>
      <c r="Y217" s="503">
        <v>0</v>
      </c>
    </row>
    <row r="218" spans="1:25" ht="15" outlineLevel="3">
      <c r="A218" s="47" t="s">
        <v>430</v>
      </c>
      <c r="B218" s="33">
        <f t="shared" si="217"/>
        <v>213</v>
      </c>
      <c r="C218" s="10" t="s">
        <v>431</v>
      </c>
      <c r="D218" s="12" t="s">
        <v>310</v>
      </c>
      <c r="E218" s="133">
        <v>0</v>
      </c>
      <c r="F218" s="134">
        <v>2559.1</v>
      </c>
      <c r="G218" s="158">
        <v>1700</v>
      </c>
      <c r="H218" s="158">
        <v>214.36</v>
      </c>
      <c r="I218" s="158">
        <v>0</v>
      </c>
      <c r="J218" s="158">
        <v>203.39100000000002</v>
      </c>
      <c r="K218" s="158">
        <v>100</v>
      </c>
      <c r="L218" s="158">
        <v>0</v>
      </c>
      <c r="M218" s="158">
        <v>100</v>
      </c>
      <c r="N218" s="158">
        <v>50</v>
      </c>
      <c r="O218" s="172">
        <v>0</v>
      </c>
      <c r="P218" s="172">
        <v>0</v>
      </c>
      <c r="Q218" s="172">
        <v>0</v>
      </c>
      <c r="R218" s="172">
        <v>0</v>
      </c>
      <c r="S218" s="172">
        <v>0</v>
      </c>
      <c r="T218" s="172">
        <v>0</v>
      </c>
      <c r="U218" s="172">
        <v>0</v>
      </c>
      <c r="V218" s="172">
        <v>0</v>
      </c>
      <c r="W218" s="172">
        <v>0</v>
      </c>
      <c r="X218" s="474">
        <v>0</v>
      </c>
      <c r="Y218" s="503">
        <v>0</v>
      </c>
    </row>
    <row r="219" spans="1:25" ht="15" outlineLevel="3">
      <c r="A219" s="47" t="s">
        <v>432</v>
      </c>
      <c r="B219" s="33">
        <f t="shared" si="217"/>
        <v>214</v>
      </c>
      <c r="C219" s="10" t="s">
        <v>433</v>
      </c>
      <c r="D219" s="12" t="s">
        <v>313</v>
      </c>
      <c r="E219" s="133">
        <v>0</v>
      </c>
      <c r="F219" s="134">
        <v>149.83000000000001</v>
      </c>
      <c r="G219" s="158">
        <v>900</v>
      </c>
      <c r="H219" s="158">
        <v>8.36</v>
      </c>
      <c r="I219" s="158">
        <v>0</v>
      </c>
      <c r="J219" s="158">
        <v>18.543000000000003</v>
      </c>
      <c r="K219" s="158">
        <v>500</v>
      </c>
      <c r="L219" s="158">
        <v>0</v>
      </c>
      <c r="M219" s="158">
        <v>500</v>
      </c>
      <c r="N219" s="158">
        <v>500</v>
      </c>
      <c r="O219" s="172">
        <v>0</v>
      </c>
      <c r="P219" s="172">
        <v>0</v>
      </c>
      <c r="Q219" s="172">
        <v>0</v>
      </c>
      <c r="R219" s="172">
        <v>0</v>
      </c>
      <c r="S219" s="172">
        <v>0</v>
      </c>
      <c r="T219" s="172">
        <v>0</v>
      </c>
      <c r="U219" s="172">
        <v>0</v>
      </c>
      <c r="V219" s="172">
        <v>0</v>
      </c>
      <c r="W219" s="172">
        <v>0</v>
      </c>
      <c r="X219" s="474">
        <v>0</v>
      </c>
      <c r="Y219" s="503">
        <v>0</v>
      </c>
    </row>
    <row r="220" spans="1:25" ht="15" outlineLevel="2">
      <c r="A220" s="46" t="s">
        <v>434</v>
      </c>
      <c r="B220" s="32">
        <f t="shared" si="217"/>
        <v>215</v>
      </c>
      <c r="C220" s="10"/>
      <c r="D220" s="10" t="s">
        <v>435</v>
      </c>
      <c r="E220" s="142">
        <v>10000</v>
      </c>
      <c r="F220" s="114">
        <v>0</v>
      </c>
      <c r="G220" s="161">
        <v>10950</v>
      </c>
      <c r="H220" s="161">
        <v>4420.04</v>
      </c>
      <c r="I220" s="161">
        <v>8300</v>
      </c>
      <c r="J220" s="161">
        <v>4377.8519999999999</v>
      </c>
      <c r="K220" s="161">
        <f>SUBTOTAL(9,K221:K225)</f>
        <v>6000</v>
      </c>
      <c r="L220" s="161">
        <v>3819.39</v>
      </c>
      <c r="M220" s="161">
        <v>6000</v>
      </c>
      <c r="N220" s="161">
        <f>SUBTOTAL(9,N221:N225)</f>
        <v>7150</v>
      </c>
      <c r="O220" s="175">
        <f t="shared" ref="O220" si="248">SUBTOTAL(9,O221:O225)</f>
        <v>198</v>
      </c>
      <c r="P220" s="175">
        <f t="shared" ref="P220" si="249">SUBTOTAL(9,P221:P225)</f>
        <v>566</v>
      </c>
      <c r="Q220" s="175">
        <f t="shared" ref="Q220:R220" si="250">SUBTOTAL(9,Q221:Q225)</f>
        <v>764</v>
      </c>
      <c r="R220" s="175">
        <f t="shared" si="250"/>
        <v>962</v>
      </c>
      <c r="S220" s="175">
        <f t="shared" ref="S220:T220" si="251">SUBTOTAL(9,S221:S225)</f>
        <v>1747.87</v>
      </c>
      <c r="T220" s="175">
        <f t="shared" si="251"/>
        <v>2191.1999999999998</v>
      </c>
      <c r="U220" s="175">
        <f t="shared" ref="U220" si="252">SUBTOTAL(9,U221:U225)</f>
        <v>2570.77</v>
      </c>
      <c r="V220" s="175">
        <f t="shared" ref="V220:W220" si="253">SUBTOTAL(9,V221:V225)</f>
        <v>3799.25</v>
      </c>
      <c r="W220" s="175">
        <f t="shared" si="253"/>
        <v>4038.14</v>
      </c>
      <c r="X220" s="477">
        <v>4038.14</v>
      </c>
      <c r="Y220" s="506">
        <v>5123.4799999999996</v>
      </c>
    </row>
    <row r="221" spans="1:25" ht="15" outlineLevel="3">
      <c r="A221" s="47" t="s">
        <v>436</v>
      </c>
      <c r="B221" s="33">
        <f t="shared" si="217"/>
        <v>216</v>
      </c>
      <c r="C221" s="10" t="s">
        <v>437</v>
      </c>
      <c r="D221" s="12" t="s">
        <v>301</v>
      </c>
      <c r="E221" s="133">
        <v>4000</v>
      </c>
      <c r="F221" s="134">
        <v>0</v>
      </c>
      <c r="G221" s="158">
        <v>3400</v>
      </c>
      <c r="H221" s="158">
        <v>2172.58</v>
      </c>
      <c r="I221" s="158">
        <v>2500</v>
      </c>
      <c r="J221" s="158">
        <v>2166.0570000000002</v>
      </c>
      <c r="K221" s="158">
        <v>2000</v>
      </c>
      <c r="L221" s="158">
        <v>1652.53</v>
      </c>
      <c r="M221" s="158">
        <v>2000</v>
      </c>
      <c r="N221" s="158">
        <v>3150</v>
      </c>
      <c r="O221" s="172">
        <v>99</v>
      </c>
      <c r="P221" s="172">
        <v>368</v>
      </c>
      <c r="Q221" s="172">
        <v>467</v>
      </c>
      <c r="R221" s="172">
        <v>566</v>
      </c>
      <c r="S221" s="172">
        <v>1252.8699999999999</v>
      </c>
      <c r="T221" s="172">
        <v>1597.2</v>
      </c>
      <c r="U221" s="172">
        <v>1781.2</v>
      </c>
      <c r="V221" s="172">
        <v>1880.2</v>
      </c>
      <c r="W221" s="172">
        <v>1979.2</v>
      </c>
      <c r="X221" s="474">
        <v>1979.2</v>
      </c>
      <c r="Y221" s="503">
        <v>2815.71</v>
      </c>
    </row>
    <row r="222" spans="1:25" ht="15" outlineLevel="3">
      <c r="A222" s="47" t="s">
        <v>438</v>
      </c>
      <c r="B222" s="33">
        <f t="shared" si="217"/>
        <v>217</v>
      </c>
      <c r="C222" s="10" t="s">
        <v>439</v>
      </c>
      <c r="D222" s="12" t="s">
        <v>304</v>
      </c>
      <c r="E222" s="133">
        <v>500</v>
      </c>
      <c r="F222" s="134">
        <v>0</v>
      </c>
      <c r="G222" s="158">
        <v>1800</v>
      </c>
      <c r="H222" s="158">
        <v>216</v>
      </c>
      <c r="I222" s="158">
        <v>2300</v>
      </c>
      <c r="J222" s="158">
        <v>214.38900000000001</v>
      </c>
      <c r="K222" s="158">
        <v>500</v>
      </c>
      <c r="L222" s="158">
        <v>198.19</v>
      </c>
      <c r="M222" s="158">
        <v>500</v>
      </c>
      <c r="N222" s="158">
        <v>500</v>
      </c>
      <c r="O222" s="172">
        <v>0</v>
      </c>
      <c r="P222" s="172">
        <v>0</v>
      </c>
      <c r="Q222" s="172">
        <v>0</v>
      </c>
      <c r="R222" s="172">
        <v>0</v>
      </c>
      <c r="S222" s="172">
        <v>0</v>
      </c>
      <c r="T222" s="172">
        <v>0</v>
      </c>
      <c r="U222" s="172">
        <v>19.32</v>
      </c>
      <c r="V222" s="172">
        <v>212.46</v>
      </c>
      <c r="W222" s="172">
        <v>212.46</v>
      </c>
      <c r="X222" s="474">
        <v>212.46</v>
      </c>
      <c r="Y222" s="503">
        <v>212.46</v>
      </c>
    </row>
    <row r="223" spans="1:25" ht="15" outlineLevel="3">
      <c r="A223" s="47" t="s">
        <v>440</v>
      </c>
      <c r="B223" s="33">
        <f t="shared" si="217"/>
        <v>218</v>
      </c>
      <c r="C223" s="10" t="s">
        <v>441</v>
      </c>
      <c r="D223" s="12" t="s">
        <v>307</v>
      </c>
      <c r="E223" s="133">
        <v>1000</v>
      </c>
      <c r="F223" s="134">
        <v>0</v>
      </c>
      <c r="G223" s="158">
        <v>1000</v>
      </c>
      <c r="H223" s="158">
        <v>27</v>
      </c>
      <c r="I223" s="158">
        <v>1000</v>
      </c>
      <c r="J223" s="158">
        <v>0</v>
      </c>
      <c r="K223" s="158">
        <v>500</v>
      </c>
      <c r="L223" s="158">
        <v>0</v>
      </c>
      <c r="M223" s="158">
        <v>500</v>
      </c>
      <c r="N223" s="158">
        <v>500</v>
      </c>
      <c r="O223" s="172">
        <v>0</v>
      </c>
      <c r="P223" s="172">
        <v>0</v>
      </c>
      <c r="Q223" s="172">
        <v>0</v>
      </c>
      <c r="R223" s="172">
        <v>0</v>
      </c>
      <c r="S223" s="172">
        <v>0</v>
      </c>
      <c r="T223" s="172">
        <v>0</v>
      </c>
      <c r="U223" s="172">
        <v>0</v>
      </c>
      <c r="V223" s="172">
        <v>0</v>
      </c>
      <c r="W223" s="172">
        <v>35</v>
      </c>
      <c r="X223" s="474">
        <v>35</v>
      </c>
      <c r="Y223" s="503">
        <v>70</v>
      </c>
    </row>
    <row r="224" spans="1:25" ht="15" outlineLevel="3">
      <c r="A224" s="47" t="s">
        <v>442</v>
      </c>
      <c r="B224" s="33">
        <f t="shared" si="217"/>
        <v>219</v>
      </c>
      <c r="C224" s="10" t="s">
        <v>443</v>
      </c>
      <c r="D224" s="12" t="s">
        <v>310</v>
      </c>
      <c r="E224" s="133">
        <v>3000</v>
      </c>
      <c r="F224" s="134">
        <v>0</v>
      </c>
      <c r="G224" s="158">
        <v>3500</v>
      </c>
      <c r="H224" s="158">
        <v>1929.24</v>
      </c>
      <c r="I224" s="158">
        <v>2000</v>
      </c>
      <c r="J224" s="158">
        <v>1830.519</v>
      </c>
      <c r="K224" s="158">
        <v>2500</v>
      </c>
      <c r="L224" s="158">
        <v>1754.48</v>
      </c>
      <c r="M224" s="158">
        <v>2500</v>
      </c>
      <c r="N224" s="158">
        <v>2500</v>
      </c>
      <c r="O224" s="172">
        <v>99</v>
      </c>
      <c r="P224" s="172">
        <v>198</v>
      </c>
      <c r="Q224" s="172">
        <v>297</v>
      </c>
      <c r="R224" s="172">
        <v>396</v>
      </c>
      <c r="S224" s="172">
        <v>495</v>
      </c>
      <c r="T224" s="172">
        <v>594</v>
      </c>
      <c r="U224" s="172">
        <v>750.93</v>
      </c>
      <c r="V224" s="172">
        <v>1429.33</v>
      </c>
      <c r="W224" s="172">
        <v>1528.33</v>
      </c>
      <c r="X224" s="474">
        <v>1528.33</v>
      </c>
      <c r="Y224" s="503">
        <v>1738.23</v>
      </c>
    </row>
    <row r="225" spans="1:25" ht="15" outlineLevel="3">
      <c r="A225" s="47" t="s">
        <v>444</v>
      </c>
      <c r="B225" s="33">
        <f t="shared" si="217"/>
        <v>220</v>
      </c>
      <c r="C225" s="10" t="s">
        <v>445</v>
      </c>
      <c r="D225" s="12" t="s">
        <v>313</v>
      </c>
      <c r="E225" s="136">
        <v>1500</v>
      </c>
      <c r="F225" s="137">
        <v>0</v>
      </c>
      <c r="G225" s="159">
        <v>1250</v>
      </c>
      <c r="H225" s="159">
        <v>75.22</v>
      </c>
      <c r="I225" s="159">
        <v>500</v>
      </c>
      <c r="J225" s="159">
        <v>166.887</v>
      </c>
      <c r="K225" s="159">
        <v>500</v>
      </c>
      <c r="L225" s="159">
        <v>214.19</v>
      </c>
      <c r="M225" s="159">
        <v>500</v>
      </c>
      <c r="N225" s="159">
        <v>500</v>
      </c>
      <c r="O225" s="172">
        <v>0</v>
      </c>
      <c r="P225" s="172">
        <v>0</v>
      </c>
      <c r="Q225" s="172">
        <v>0</v>
      </c>
      <c r="R225" s="172">
        <v>0</v>
      </c>
      <c r="S225" s="172">
        <v>0</v>
      </c>
      <c r="T225" s="172">
        <v>0</v>
      </c>
      <c r="U225" s="172">
        <v>19.32</v>
      </c>
      <c r="V225" s="172">
        <v>277.26</v>
      </c>
      <c r="W225" s="172">
        <v>283.14999999999998</v>
      </c>
      <c r="X225" s="474">
        <v>283.14999999999998</v>
      </c>
      <c r="Y225" s="503">
        <v>287.08</v>
      </c>
    </row>
    <row r="226" spans="1:25" ht="15" outlineLevel="2">
      <c r="B226" s="29">
        <f t="shared" si="217"/>
        <v>221</v>
      </c>
      <c r="H226" s="13"/>
      <c r="O226" s="13"/>
      <c r="P226" s="13"/>
      <c r="Q226" s="168"/>
      <c r="R226" s="168"/>
      <c r="S226" s="168"/>
      <c r="T226" s="168"/>
      <c r="U226" s="168"/>
      <c r="V226" s="168"/>
      <c r="W226" s="168"/>
      <c r="X226" s="469"/>
      <c r="Y226" s="498"/>
    </row>
    <row r="227" spans="1:25" ht="15" outlineLevel="1">
      <c r="B227" s="29">
        <f>ROW(B222)</f>
        <v>222</v>
      </c>
      <c r="H227" s="13"/>
      <c r="O227" s="13"/>
      <c r="P227" s="13"/>
      <c r="Q227" s="168"/>
      <c r="R227" s="168"/>
      <c r="S227" s="168"/>
      <c r="T227" s="168"/>
      <c r="U227" s="168"/>
      <c r="V227" s="168"/>
      <c r="W227" s="168"/>
      <c r="X227" s="469"/>
      <c r="Y227" s="498"/>
    </row>
    <row r="228" spans="1:25" ht="15" outlineLevel="1">
      <c r="A228" s="45" t="s">
        <v>446</v>
      </c>
      <c r="B228" s="31">
        <f>ROW(B222)</f>
        <v>222</v>
      </c>
      <c r="C228" s="9"/>
      <c r="D228" s="9" t="s">
        <v>447</v>
      </c>
      <c r="E228" s="138">
        <v>27850</v>
      </c>
      <c r="F228" s="139">
        <v>21966.35</v>
      </c>
      <c r="G228" s="160">
        <v>88700</v>
      </c>
      <c r="H228" s="160">
        <v>37860.17</v>
      </c>
      <c r="I228" s="160">
        <v>229988</v>
      </c>
      <c r="J228" s="160">
        <v>23761.425999999999</v>
      </c>
      <c r="K228" s="160">
        <f>SUBTOTAL(9,K229:K236)</f>
        <v>74500</v>
      </c>
      <c r="L228" s="160">
        <v>28834.800000000003</v>
      </c>
      <c r="M228" s="160">
        <v>74500</v>
      </c>
      <c r="N228" s="160">
        <f>SUBTOTAL(9,N229:N236)</f>
        <v>65700</v>
      </c>
      <c r="O228" s="171">
        <f t="shared" ref="O228" si="254">SUBTOTAL(9,O229:O236)</f>
        <v>1910.5</v>
      </c>
      <c r="P228" s="171">
        <f t="shared" ref="P228" si="255">SUBTOTAL(9,P229:P236)</f>
        <v>3838.97</v>
      </c>
      <c r="Q228" s="171">
        <f t="shared" ref="Q228:R228" si="256">SUBTOTAL(9,Q229:Q236)</f>
        <v>5145.72</v>
      </c>
      <c r="R228" s="171">
        <f t="shared" si="256"/>
        <v>7582.4</v>
      </c>
      <c r="S228" s="171">
        <f t="shared" ref="S228:T228" si="257">SUBTOTAL(9,S229:S236)</f>
        <v>11176.33</v>
      </c>
      <c r="T228" s="171">
        <f t="shared" si="257"/>
        <v>13041.41</v>
      </c>
      <c r="U228" s="171">
        <f t="shared" ref="U228" si="258">SUBTOTAL(9,U229:U236)</f>
        <v>15609.07</v>
      </c>
      <c r="V228" s="171">
        <f t="shared" ref="V228:W228" si="259">SUBTOTAL(9,V229:V236)</f>
        <v>17684.239999999998</v>
      </c>
      <c r="W228" s="171">
        <f t="shared" si="259"/>
        <v>23369.149999999998</v>
      </c>
      <c r="X228" s="473">
        <v>40809.24</v>
      </c>
      <c r="Y228" s="502">
        <v>42598.41</v>
      </c>
    </row>
    <row r="229" spans="1:25" ht="15" outlineLevel="2">
      <c r="A229" s="46" t="s">
        <v>448</v>
      </c>
      <c r="B229" s="32">
        <f>ROW(B223)</f>
        <v>223</v>
      </c>
      <c r="C229" s="10" t="s">
        <v>449</v>
      </c>
      <c r="D229" s="12" t="s">
        <v>450</v>
      </c>
      <c r="E229" s="133">
        <v>5000</v>
      </c>
      <c r="F229" s="134">
        <v>3663.15</v>
      </c>
      <c r="G229" s="158">
        <v>5000</v>
      </c>
      <c r="H229" s="158">
        <v>4416.1499999999996</v>
      </c>
      <c r="I229" s="158">
        <v>5000</v>
      </c>
      <c r="J229" s="158">
        <v>2707.25</v>
      </c>
      <c r="K229" s="158">
        <v>4000</v>
      </c>
      <c r="L229" s="158">
        <v>4887.95</v>
      </c>
      <c r="M229" s="158">
        <v>4000</v>
      </c>
      <c r="N229" s="158">
        <v>5500</v>
      </c>
      <c r="O229" s="172">
        <v>224.91</v>
      </c>
      <c r="P229" s="172">
        <v>866.32</v>
      </c>
      <c r="Q229" s="172">
        <v>1091.23</v>
      </c>
      <c r="R229" s="172">
        <v>1316.14</v>
      </c>
      <c r="S229" s="172">
        <v>2121.77</v>
      </c>
      <c r="T229" s="172">
        <v>2421.65</v>
      </c>
      <c r="U229" s="172">
        <v>2941.09</v>
      </c>
      <c r="V229" s="172">
        <v>3315.94</v>
      </c>
      <c r="W229" s="172">
        <v>3617.14</v>
      </c>
      <c r="X229" s="474">
        <v>3617.14</v>
      </c>
      <c r="Y229" s="503">
        <v>4227.57</v>
      </c>
    </row>
    <row r="230" spans="1:25" ht="15" outlineLevel="2">
      <c r="A230" s="46" t="s">
        <v>451</v>
      </c>
      <c r="B230" s="32">
        <f>ROW(B224)</f>
        <v>224</v>
      </c>
      <c r="C230" s="10" t="s">
        <v>452</v>
      </c>
      <c r="D230" s="10" t="s">
        <v>453</v>
      </c>
      <c r="E230" s="133">
        <v>500</v>
      </c>
      <c r="F230" s="134">
        <v>1517.25</v>
      </c>
      <c r="G230" s="158">
        <v>2500</v>
      </c>
      <c r="H230" s="158">
        <v>1561.88</v>
      </c>
      <c r="I230" s="158">
        <v>2000</v>
      </c>
      <c r="J230" s="158">
        <v>1071</v>
      </c>
      <c r="K230" s="158">
        <v>2000</v>
      </c>
      <c r="L230" s="158">
        <v>0</v>
      </c>
      <c r="M230" s="158">
        <v>2000</v>
      </c>
      <c r="N230" s="158">
        <v>1200</v>
      </c>
      <c r="O230" s="172">
        <v>0</v>
      </c>
      <c r="P230" s="172">
        <v>0</v>
      </c>
      <c r="Q230" s="172">
        <v>0</v>
      </c>
      <c r="R230" s="172">
        <v>729.47</v>
      </c>
      <c r="S230" s="172">
        <v>729.47</v>
      </c>
      <c r="T230" s="172">
        <v>729.47</v>
      </c>
      <c r="U230" s="172">
        <v>729.47</v>
      </c>
      <c r="V230" s="172">
        <v>729.47</v>
      </c>
      <c r="W230" s="172">
        <v>729.47</v>
      </c>
      <c r="X230" s="474">
        <v>729.47</v>
      </c>
      <c r="Y230" s="503">
        <v>729.47</v>
      </c>
    </row>
    <row r="231" spans="1:25" ht="15" outlineLevel="2">
      <c r="A231" s="46" t="s">
        <v>454</v>
      </c>
      <c r="B231" s="32">
        <f>ROW(B225)</f>
        <v>225</v>
      </c>
      <c r="C231" s="10" t="s">
        <v>455</v>
      </c>
      <c r="D231" s="12" t="s">
        <v>456</v>
      </c>
      <c r="E231" s="133">
        <v>8900</v>
      </c>
      <c r="F231" s="134">
        <v>8863.92</v>
      </c>
      <c r="G231" s="158">
        <v>18750</v>
      </c>
      <c r="H231" s="158">
        <v>8570.2800000000007</v>
      </c>
      <c r="I231" s="158">
        <v>85538</v>
      </c>
      <c r="J231" s="158">
        <v>10522.191000000001</v>
      </c>
      <c r="K231" s="158">
        <v>20000</v>
      </c>
      <c r="L231" s="158">
        <v>11587.93</v>
      </c>
      <c r="M231" s="158">
        <v>20000</v>
      </c>
      <c r="N231" s="158">
        <v>10000</v>
      </c>
      <c r="O231" s="172">
        <v>1129.01</v>
      </c>
      <c r="P231" s="172">
        <v>1956.61</v>
      </c>
      <c r="Q231" s="172">
        <v>2602.19</v>
      </c>
      <c r="R231" s="172">
        <v>3648.23</v>
      </c>
      <c r="S231" s="172">
        <v>4263.91</v>
      </c>
      <c r="T231" s="172">
        <v>5381.99</v>
      </c>
      <c r="U231" s="172">
        <v>6232.2</v>
      </c>
      <c r="V231" s="172">
        <v>7041.4</v>
      </c>
      <c r="W231" s="172">
        <v>7793.81</v>
      </c>
      <c r="X231" s="474">
        <v>8507.58</v>
      </c>
      <c r="Y231" s="503">
        <v>9221.35</v>
      </c>
    </row>
    <row r="232" spans="1:25" ht="15" outlineLevel="2">
      <c r="A232" s="249" t="s">
        <v>457</v>
      </c>
      <c r="B232" s="32">
        <f>ROW(B226)</f>
        <v>226</v>
      </c>
      <c r="C232" s="10" t="s">
        <v>59</v>
      </c>
      <c r="D232" s="10" t="s">
        <v>458</v>
      </c>
      <c r="E232" s="133">
        <v>0</v>
      </c>
      <c r="F232" s="134">
        <v>0</v>
      </c>
      <c r="G232" s="158">
        <v>500</v>
      </c>
      <c r="H232" s="158"/>
      <c r="I232" s="158">
        <v>55000</v>
      </c>
      <c r="J232" s="158">
        <v>1160.9849999999999</v>
      </c>
      <c r="K232" s="158">
        <v>20000</v>
      </c>
      <c r="L232" s="158">
        <v>10988.59</v>
      </c>
      <c r="M232" s="158">
        <v>20000</v>
      </c>
      <c r="N232" s="158">
        <v>12500</v>
      </c>
      <c r="O232" s="172">
        <v>532.58000000000004</v>
      </c>
      <c r="P232" s="172">
        <v>992.04</v>
      </c>
      <c r="Q232" s="172">
        <v>1428.3</v>
      </c>
      <c r="R232" s="172">
        <v>1864.56</v>
      </c>
      <c r="S232" s="172">
        <v>4037.18</v>
      </c>
      <c r="T232" s="172">
        <v>4484.3</v>
      </c>
      <c r="U232" s="172">
        <v>5682.31</v>
      </c>
      <c r="V232" s="172">
        <v>6129.43</v>
      </c>
      <c r="W232" s="172">
        <v>7742.75</v>
      </c>
      <c r="X232" s="474">
        <v>8189.87</v>
      </c>
      <c r="Y232" s="503">
        <v>8654.84</v>
      </c>
    </row>
    <row r="233" spans="1:25" ht="15" outlineLevel="2">
      <c r="A233" s="46" t="s">
        <v>459</v>
      </c>
      <c r="B233" s="32">
        <f t="shared" si="217"/>
        <v>228</v>
      </c>
      <c r="C233" s="10" t="s">
        <v>460</v>
      </c>
      <c r="D233" s="10" t="s">
        <v>461</v>
      </c>
      <c r="E233" s="133">
        <v>15500</v>
      </c>
      <c r="F233" s="134">
        <v>7761.38</v>
      </c>
      <c r="G233" s="158">
        <v>25000</v>
      </c>
      <c r="H233" s="158">
        <v>23311.86</v>
      </c>
      <c r="I233" s="158">
        <v>25000</v>
      </c>
      <c r="J233" s="158">
        <v>8300</v>
      </c>
      <c r="K233" s="158">
        <v>15000</v>
      </c>
      <c r="L233" s="158">
        <v>0</v>
      </c>
      <c r="M233" s="158">
        <v>15000</v>
      </c>
      <c r="N233" s="158">
        <v>35000</v>
      </c>
      <c r="O233" s="172">
        <v>0</v>
      </c>
      <c r="P233" s="172">
        <v>0</v>
      </c>
      <c r="Q233" s="172">
        <v>0</v>
      </c>
      <c r="R233" s="172">
        <v>0</v>
      </c>
      <c r="S233" s="172">
        <v>0</v>
      </c>
      <c r="T233" s="172">
        <v>0</v>
      </c>
      <c r="U233" s="172">
        <v>0</v>
      </c>
      <c r="V233" s="172">
        <v>0</v>
      </c>
      <c r="W233" s="172">
        <v>3017.98</v>
      </c>
      <c r="X233" s="474">
        <v>19297.18</v>
      </c>
      <c r="Y233" s="503">
        <v>19297.18</v>
      </c>
    </row>
    <row r="234" spans="1:25" ht="15" outlineLevel="2">
      <c r="A234" s="46" t="s">
        <v>462</v>
      </c>
      <c r="B234" s="32">
        <f t="shared" si="217"/>
        <v>229</v>
      </c>
      <c r="C234" s="10" t="s">
        <v>59</v>
      </c>
      <c r="D234" s="10" t="s">
        <v>463</v>
      </c>
      <c r="E234" s="133">
        <v>0</v>
      </c>
      <c r="F234" s="134">
        <v>0</v>
      </c>
      <c r="G234" s="158">
        <v>1000</v>
      </c>
      <c r="H234" s="158"/>
      <c r="I234" s="158">
        <v>5000</v>
      </c>
      <c r="J234" s="158"/>
      <c r="K234" s="158">
        <v>2500</v>
      </c>
      <c r="L234" s="158">
        <v>1370.33</v>
      </c>
      <c r="M234" s="158">
        <v>2500</v>
      </c>
      <c r="N234" s="158">
        <v>1500</v>
      </c>
      <c r="O234" s="172">
        <v>24</v>
      </c>
      <c r="P234" s="172">
        <v>24</v>
      </c>
      <c r="Q234" s="172">
        <v>24</v>
      </c>
      <c r="R234" s="172">
        <v>24</v>
      </c>
      <c r="S234" s="172">
        <v>24</v>
      </c>
      <c r="T234" s="172">
        <v>24</v>
      </c>
      <c r="U234" s="172">
        <v>24</v>
      </c>
      <c r="V234" s="172">
        <v>468</v>
      </c>
      <c r="W234" s="172">
        <v>468</v>
      </c>
      <c r="X234" s="474">
        <v>468</v>
      </c>
      <c r="Y234" s="503">
        <v>468</v>
      </c>
    </row>
    <row r="235" spans="1:25" ht="15" outlineLevel="2">
      <c r="A235" s="46" t="s">
        <v>464</v>
      </c>
      <c r="B235" s="32">
        <f>ROW(B230)</f>
        <v>230</v>
      </c>
      <c r="C235" s="10" t="s">
        <v>465</v>
      </c>
      <c r="D235" s="10" t="s">
        <v>466</v>
      </c>
      <c r="E235" s="133">
        <v>2950</v>
      </c>
      <c r="F235" s="134">
        <v>160.65</v>
      </c>
      <c r="G235" s="158">
        <v>2920</v>
      </c>
      <c r="H235" s="158">
        <v>0</v>
      </c>
      <c r="I235" s="158">
        <v>2450</v>
      </c>
      <c r="J235" s="158">
        <v>0</v>
      </c>
      <c r="K235" s="158">
        <v>1000</v>
      </c>
      <c r="L235" s="158">
        <v>0</v>
      </c>
      <c r="M235" s="158">
        <v>1000</v>
      </c>
      <c r="N235" s="158">
        <v>0</v>
      </c>
      <c r="O235" s="172">
        <v>0</v>
      </c>
      <c r="P235" s="172">
        <v>0</v>
      </c>
      <c r="Q235" s="172">
        <v>0</v>
      </c>
      <c r="R235" s="172">
        <v>0</v>
      </c>
      <c r="S235" s="172">
        <v>0</v>
      </c>
      <c r="T235" s="172">
        <v>0</v>
      </c>
      <c r="U235" s="172">
        <v>0</v>
      </c>
      <c r="V235" s="172">
        <v>0</v>
      </c>
      <c r="W235" s="172">
        <v>0</v>
      </c>
      <c r="X235" s="474">
        <v>0</v>
      </c>
      <c r="Y235" s="503">
        <v>0</v>
      </c>
    </row>
    <row r="236" spans="1:25" ht="15" outlineLevel="2">
      <c r="A236" s="46" t="s">
        <v>467</v>
      </c>
      <c r="B236" s="32">
        <f>ROW(B231)</f>
        <v>231</v>
      </c>
      <c r="C236" s="10" t="s">
        <v>59</v>
      </c>
      <c r="D236" s="10" t="s">
        <v>468</v>
      </c>
      <c r="E236" s="136">
        <v>0</v>
      </c>
      <c r="F236" s="137">
        <v>0</v>
      </c>
      <c r="G236" s="159">
        <v>24000</v>
      </c>
      <c r="H236" s="159"/>
      <c r="I236" s="159">
        <v>50000</v>
      </c>
      <c r="J236" s="159"/>
      <c r="K236" s="159">
        <v>10000</v>
      </c>
      <c r="L236" s="159">
        <v>0</v>
      </c>
      <c r="M236" s="159">
        <v>10000</v>
      </c>
      <c r="N236" s="159">
        <v>0</v>
      </c>
      <c r="O236" s="172">
        <v>0</v>
      </c>
      <c r="P236" s="172">
        <v>0</v>
      </c>
      <c r="Q236" s="172">
        <v>0</v>
      </c>
      <c r="R236" s="172">
        <v>0</v>
      </c>
      <c r="S236" s="172">
        <v>0</v>
      </c>
      <c r="T236" s="172">
        <v>0</v>
      </c>
      <c r="U236" s="172">
        <v>0</v>
      </c>
      <c r="V236" s="172">
        <v>0</v>
      </c>
      <c r="W236" s="172">
        <v>0</v>
      </c>
      <c r="X236" s="474">
        <v>0</v>
      </c>
      <c r="Y236" s="503">
        <v>0</v>
      </c>
    </row>
    <row r="237" spans="1:25" ht="15" outlineLevel="1">
      <c r="B237" s="29">
        <f>ROW(B231)</f>
        <v>231</v>
      </c>
      <c r="H237" s="13"/>
      <c r="O237" s="13"/>
      <c r="P237" s="13"/>
      <c r="Q237" s="168"/>
      <c r="R237" s="168"/>
      <c r="S237" s="168"/>
      <c r="T237" s="168"/>
      <c r="U237" s="168"/>
      <c r="V237" s="168"/>
      <c r="W237" s="168"/>
      <c r="X237" s="469"/>
      <c r="Y237" s="498"/>
    </row>
    <row r="238" spans="1:25" ht="15" outlineLevel="1">
      <c r="A238" s="45" t="s">
        <v>469</v>
      </c>
      <c r="B238" s="31">
        <f>ROW(B232)</f>
        <v>232</v>
      </c>
      <c r="C238" s="9"/>
      <c r="D238" s="9" t="s">
        <v>470</v>
      </c>
      <c r="E238" s="138">
        <f t="shared" ref="E238:G238" si="260">SUBTOTAL(9,E239:E247)</f>
        <v>1700</v>
      </c>
      <c r="F238" s="139">
        <v>39511.550000000003</v>
      </c>
      <c r="G238" s="160">
        <f t="shared" si="260"/>
        <v>142650</v>
      </c>
      <c r="H238" s="160">
        <v>0</v>
      </c>
      <c r="I238" s="160">
        <f t="shared" ref="I238:O238" si="261">SUBTOTAL(9,I239:I247)</f>
        <v>142650</v>
      </c>
      <c r="J238" s="160">
        <v>0</v>
      </c>
      <c r="K238" s="160">
        <f t="shared" si="261"/>
        <v>191400</v>
      </c>
      <c r="L238" s="160">
        <v>10354.51</v>
      </c>
      <c r="M238" s="160">
        <v>191400</v>
      </c>
      <c r="N238" s="160">
        <f>SUBTOTAL(9,N239:N247)</f>
        <v>69402.06</v>
      </c>
      <c r="O238" s="171">
        <f t="shared" si="261"/>
        <v>5522.98</v>
      </c>
      <c r="P238" s="171">
        <f t="shared" ref="P238:Q238" si="262">SUBTOTAL(9,P239:P247)</f>
        <v>9815.82</v>
      </c>
      <c r="Q238" s="171">
        <f t="shared" si="262"/>
        <v>26658.89</v>
      </c>
      <c r="R238" s="171">
        <f t="shared" ref="R238:T238" si="263">SUBTOTAL(9,R239:R247)</f>
        <v>29356.89</v>
      </c>
      <c r="S238" s="171">
        <f t="shared" si="263"/>
        <v>58622.939999999995</v>
      </c>
      <c r="T238" s="171">
        <f t="shared" si="263"/>
        <v>58909.74</v>
      </c>
      <c r="U238" s="171">
        <f t="shared" ref="U238" si="264">SUBTOTAL(9,U239:U247)</f>
        <v>58909.74</v>
      </c>
      <c r="V238" s="171">
        <f t="shared" ref="V238:W238" si="265">SUBTOTAL(9,V239:V247)</f>
        <v>59362.74</v>
      </c>
      <c r="W238" s="171">
        <f t="shared" si="265"/>
        <v>60000.14</v>
      </c>
      <c r="X238" s="473">
        <v>60000.14</v>
      </c>
      <c r="Y238" s="502">
        <v>60000.14</v>
      </c>
    </row>
    <row r="239" spans="1:25" ht="15" outlineLevel="3">
      <c r="A239" s="46" t="s">
        <v>471</v>
      </c>
      <c r="B239" s="32">
        <f>ROW(B233)</f>
        <v>233</v>
      </c>
      <c r="C239" s="10" t="s">
        <v>472</v>
      </c>
      <c r="D239" s="10" t="s">
        <v>473</v>
      </c>
      <c r="E239" s="133">
        <v>800</v>
      </c>
      <c r="F239" s="134">
        <v>800</v>
      </c>
      <c r="G239" s="158">
        <v>5600</v>
      </c>
      <c r="H239" s="158">
        <v>0</v>
      </c>
      <c r="I239" s="158">
        <v>5600</v>
      </c>
      <c r="J239" s="158">
        <v>0</v>
      </c>
      <c r="K239" s="158">
        <v>3200</v>
      </c>
      <c r="L239" s="158">
        <v>1290.67</v>
      </c>
      <c r="M239" s="158">
        <v>3200</v>
      </c>
      <c r="N239" s="158">
        <v>9000</v>
      </c>
      <c r="O239" s="172">
        <v>1440</v>
      </c>
      <c r="P239" s="172">
        <v>2880</v>
      </c>
      <c r="Q239" s="172">
        <v>4320</v>
      </c>
      <c r="R239" s="172">
        <v>5760</v>
      </c>
      <c r="S239" s="172">
        <v>7200</v>
      </c>
      <c r="T239" s="172">
        <v>7200</v>
      </c>
      <c r="U239" s="172">
        <v>7200</v>
      </c>
      <c r="V239" s="172">
        <v>7200</v>
      </c>
      <c r="W239" s="172">
        <v>7200</v>
      </c>
      <c r="X239" s="474">
        <v>7200</v>
      </c>
      <c r="Y239" s="503">
        <v>7200</v>
      </c>
    </row>
    <row r="240" spans="1:25" ht="15" outlineLevel="3">
      <c r="A240" s="46" t="s">
        <v>474</v>
      </c>
      <c r="B240" s="32">
        <f>ROW(B234)</f>
        <v>234</v>
      </c>
      <c r="C240" s="10" t="s">
        <v>475</v>
      </c>
      <c r="D240" s="10" t="s">
        <v>476</v>
      </c>
      <c r="E240" s="133">
        <v>500</v>
      </c>
      <c r="F240" s="134">
        <v>595</v>
      </c>
      <c r="G240" s="158">
        <v>3000</v>
      </c>
      <c r="H240" s="158">
        <v>0</v>
      </c>
      <c r="I240" s="158">
        <v>3000</v>
      </c>
      <c r="J240" s="158">
        <v>0</v>
      </c>
      <c r="K240" s="158">
        <v>5000</v>
      </c>
      <c r="L240" s="158">
        <v>810</v>
      </c>
      <c r="M240" s="158">
        <v>5000</v>
      </c>
      <c r="N240" s="158">
        <v>8000</v>
      </c>
      <c r="O240" s="172">
        <v>1635</v>
      </c>
      <c r="P240" s="172">
        <v>2145</v>
      </c>
      <c r="Q240" s="172">
        <v>3495</v>
      </c>
      <c r="R240" s="172">
        <v>3755</v>
      </c>
      <c r="S240" s="172">
        <v>5210</v>
      </c>
      <c r="T240" s="172">
        <v>5300</v>
      </c>
      <c r="U240" s="172">
        <v>5300</v>
      </c>
      <c r="V240" s="172">
        <v>5420</v>
      </c>
      <c r="W240" s="172">
        <v>5860</v>
      </c>
      <c r="X240" s="474">
        <v>5860</v>
      </c>
      <c r="Y240" s="503">
        <v>5860</v>
      </c>
    </row>
    <row r="241" spans="1:25" ht="15" outlineLevel="3">
      <c r="A241" s="46" t="s">
        <v>477</v>
      </c>
      <c r="B241" s="32">
        <f>ROW(B235)</f>
        <v>235</v>
      </c>
      <c r="C241" s="10" t="s">
        <v>478</v>
      </c>
      <c r="D241" s="10" t="s">
        <v>479</v>
      </c>
      <c r="E241" s="133">
        <v>300</v>
      </c>
      <c r="F241" s="134">
        <v>504.35</v>
      </c>
      <c r="G241" s="158">
        <v>2000</v>
      </c>
      <c r="H241" s="158">
        <v>0</v>
      </c>
      <c r="I241" s="158">
        <v>2000</v>
      </c>
      <c r="J241" s="158">
        <v>0</v>
      </c>
      <c r="K241" s="158">
        <v>5000</v>
      </c>
      <c r="L241" s="158">
        <v>4873.84</v>
      </c>
      <c r="M241" s="158">
        <v>5000</v>
      </c>
      <c r="N241" s="158">
        <v>12000</v>
      </c>
      <c r="O241" s="172">
        <f>1723.98+276</f>
        <v>1999.98</v>
      </c>
      <c r="P241" s="172">
        <f>3197.22+402</f>
        <v>3599.22</v>
      </c>
      <c r="Q241" s="172">
        <f>4590.67+768</f>
        <v>5358.67</v>
      </c>
      <c r="R241" s="172">
        <f>5097.67+858</f>
        <v>5955.67</v>
      </c>
      <c r="S241" s="172">
        <f>6324.28+1290</f>
        <v>7614.28</v>
      </c>
      <c r="T241" s="172">
        <f>6485.08+1326</f>
        <v>7811.08</v>
      </c>
      <c r="U241" s="172">
        <f>6485.08+1326</f>
        <v>7811.08</v>
      </c>
      <c r="V241" s="172">
        <f>6782.08+1362</f>
        <v>8144.08</v>
      </c>
      <c r="W241" s="172">
        <f>6943.48+1398</f>
        <v>8341.48</v>
      </c>
      <c r="X241" s="474">
        <v>8341.48</v>
      </c>
      <c r="Y241" s="503">
        <v>8341.48</v>
      </c>
    </row>
    <row r="242" spans="1:25" ht="15" outlineLevel="3">
      <c r="A242" s="46" t="s">
        <v>480</v>
      </c>
      <c r="B242" s="32">
        <f t="shared" si="217"/>
        <v>237</v>
      </c>
      <c r="C242" s="10" t="s">
        <v>481</v>
      </c>
      <c r="D242" s="10" t="s">
        <v>482</v>
      </c>
      <c r="E242" s="133">
        <v>100</v>
      </c>
      <c r="F242" s="134">
        <v>8374.25</v>
      </c>
      <c r="G242" s="158">
        <v>2000</v>
      </c>
      <c r="H242" s="158">
        <v>0</v>
      </c>
      <c r="I242" s="158">
        <v>2000</v>
      </c>
      <c r="J242" s="158">
        <v>0</v>
      </c>
      <c r="K242" s="158">
        <v>3000</v>
      </c>
      <c r="L242" s="158">
        <v>3380</v>
      </c>
      <c r="M242" s="158">
        <v>3000</v>
      </c>
      <c r="N242" s="158">
        <v>4500</v>
      </c>
      <c r="O242" s="172">
        <v>448</v>
      </c>
      <c r="P242" s="172">
        <v>1191.5999999999999</v>
      </c>
      <c r="Q242" s="172">
        <v>1739.6</v>
      </c>
      <c r="R242" s="172">
        <v>2140.6</v>
      </c>
      <c r="S242" s="172">
        <v>2696.6</v>
      </c>
      <c r="T242" s="172">
        <v>2696.6</v>
      </c>
      <c r="U242" s="172">
        <v>2696.6</v>
      </c>
      <c r="V242" s="172">
        <v>2696.6</v>
      </c>
      <c r="W242" s="172">
        <v>2696.6</v>
      </c>
      <c r="X242" s="474">
        <v>2696.6</v>
      </c>
      <c r="Y242" s="503">
        <v>2696.6</v>
      </c>
    </row>
    <row r="243" spans="1:25" ht="15" outlineLevel="3">
      <c r="A243" s="46" t="s">
        <v>483</v>
      </c>
      <c r="B243" s="32">
        <f t="shared" si="217"/>
        <v>238</v>
      </c>
      <c r="C243" s="10" t="s">
        <v>484</v>
      </c>
      <c r="D243" s="10" t="s">
        <v>485</v>
      </c>
      <c r="E243" s="133">
        <v>0</v>
      </c>
      <c r="F243" s="134">
        <v>0</v>
      </c>
      <c r="G243" s="158">
        <v>19900</v>
      </c>
      <c r="H243" s="158">
        <v>0</v>
      </c>
      <c r="I243" s="158">
        <v>19900</v>
      </c>
      <c r="J243" s="158">
        <v>0</v>
      </c>
      <c r="K243" s="158">
        <v>40000</v>
      </c>
      <c r="L243" s="158">
        <v>0</v>
      </c>
      <c r="M243" s="158">
        <v>40000</v>
      </c>
      <c r="N243" s="158">
        <v>35902.06</v>
      </c>
      <c r="O243" s="172">
        <v>0</v>
      </c>
      <c r="P243" s="172">
        <v>0</v>
      </c>
      <c r="Q243" s="172">
        <v>11745.62</v>
      </c>
      <c r="R243" s="172">
        <v>11745.62</v>
      </c>
      <c r="S243" s="172">
        <v>35902.06</v>
      </c>
      <c r="T243" s="172">
        <v>35902.06</v>
      </c>
      <c r="U243" s="172">
        <v>35902.06</v>
      </c>
      <c r="V243" s="172">
        <v>35902.06</v>
      </c>
      <c r="W243" s="172">
        <v>35902.06</v>
      </c>
      <c r="X243" s="474">
        <v>35902.06</v>
      </c>
      <c r="Y243" s="503">
        <v>35902.06</v>
      </c>
    </row>
    <row r="244" spans="1:25" ht="15" outlineLevel="3">
      <c r="A244" s="46" t="s">
        <v>486</v>
      </c>
      <c r="B244" s="32">
        <f t="shared" si="217"/>
        <v>239</v>
      </c>
      <c r="C244" s="10" t="s">
        <v>487</v>
      </c>
      <c r="D244" s="10" t="s">
        <v>488</v>
      </c>
      <c r="E244" s="133">
        <v>0</v>
      </c>
      <c r="F244" s="134">
        <v>0</v>
      </c>
      <c r="G244" s="158">
        <v>45000</v>
      </c>
      <c r="H244" s="158">
        <v>0</v>
      </c>
      <c r="I244" s="158">
        <v>45000</v>
      </c>
      <c r="J244" s="158">
        <v>0</v>
      </c>
      <c r="K244" s="158">
        <v>60000</v>
      </c>
      <c r="L244" s="158">
        <v>0</v>
      </c>
      <c r="M244" s="158">
        <v>60000</v>
      </c>
      <c r="N244" s="158">
        <v>0</v>
      </c>
      <c r="O244" s="172">
        <v>0</v>
      </c>
      <c r="P244" s="172">
        <v>0</v>
      </c>
      <c r="Q244" s="172">
        <v>0</v>
      </c>
      <c r="R244" s="172">
        <v>0</v>
      </c>
      <c r="S244" s="172">
        <v>0</v>
      </c>
      <c r="T244" s="172">
        <v>0</v>
      </c>
      <c r="U244" s="172">
        <v>0</v>
      </c>
      <c r="V244" s="172">
        <v>0</v>
      </c>
      <c r="W244" s="172">
        <v>0</v>
      </c>
      <c r="X244" s="474">
        <v>0</v>
      </c>
      <c r="Y244" s="503">
        <v>0</v>
      </c>
    </row>
    <row r="245" spans="1:25" ht="15" outlineLevel="3">
      <c r="A245" s="46" t="s">
        <v>489</v>
      </c>
      <c r="B245" s="32">
        <f t="shared" si="217"/>
        <v>240</v>
      </c>
      <c r="C245" s="10" t="s">
        <v>490</v>
      </c>
      <c r="D245" s="10" t="s">
        <v>491</v>
      </c>
      <c r="E245" s="133">
        <v>0</v>
      </c>
      <c r="F245" s="134">
        <v>0</v>
      </c>
      <c r="G245" s="158">
        <v>65000</v>
      </c>
      <c r="H245" s="158">
        <v>0</v>
      </c>
      <c r="I245" s="158">
        <v>65000</v>
      </c>
      <c r="J245" s="158">
        <v>0</v>
      </c>
      <c r="K245" s="158">
        <v>75000</v>
      </c>
      <c r="L245" s="158">
        <v>0</v>
      </c>
      <c r="M245" s="158">
        <v>75000</v>
      </c>
      <c r="N245" s="158">
        <v>0</v>
      </c>
      <c r="O245" s="172">
        <v>0</v>
      </c>
      <c r="P245" s="172">
        <v>0</v>
      </c>
      <c r="Q245" s="172">
        <v>0</v>
      </c>
      <c r="R245" s="172">
        <v>0</v>
      </c>
      <c r="S245" s="172">
        <v>0</v>
      </c>
      <c r="T245" s="172">
        <v>0</v>
      </c>
      <c r="U245" s="172">
        <v>0</v>
      </c>
      <c r="V245" s="172">
        <v>0</v>
      </c>
      <c r="W245" s="172">
        <v>0</v>
      </c>
      <c r="X245" s="474">
        <v>0</v>
      </c>
      <c r="Y245" s="503">
        <v>0</v>
      </c>
    </row>
    <row r="246" spans="1:25" ht="15" outlineLevel="3">
      <c r="A246" s="46" t="s">
        <v>492</v>
      </c>
      <c r="B246" s="32">
        <f t="shared" si="217"/>
        <v>241</v>
      </c>
      <c r="C246" s="10" t="s">
        <v>493</v>
      </c>
      <c r="D246" s="10" t="s">
        <v>494</v>
      </c>
      <c r="E246" s="133">
        <v>0</v>
      </c>
      <c r="F246" s="134">
        <v>19.95</v>
      </c>
      <c r="G246" s="158">
        <v>50</v>
      </c>
      <c r="H246" s="158">
        <v>0</v>
      </c>
      <c r="I246" s="158">
        <v>50</v>
      </c>
      <c r="J246" s="158">
        <v>0</v>
      </c>
      <c r="K246" s="158">
        <v>100</v>
      </c>
      <c r="L246" s="158">
        <v>0</v>
      </c>
      <c r="M246" s="158">
        <v>100</v>
      </c>
      <c r="N246" s="158">
        <v>0</v>
      </c>
      <c r="O246" s="172">
        <v>0</v>
      </c>
      <c r="P246" s="172">
        <v>0</v>
      </c>
      <c r="Q246" s="172">
        <v>0</v>
      </c>
      <c r="R246" s="172">
        <v>0</v>
      </c>
      <c r="S246" s="172">
        <v>0</v>
      </c>
      <c r="T246" s="172">
        <v>0</v>
      </c>
      <c r="U246" s="172">
        <v>0</v>
      </c>
      <c r="V246" s="172">
        <v>0</v>
      </c>
      <c r="W246" s="172">
        <v>0</v>
      </c>
      <c r="X246" s="474">
        <v>0</v>
      </c>
      <c r="Y246" s="503">
        <v>0</v>
      </c>
    </row>
    <row r="247" spans="1:25" ht="15" outlineLevel="3">
      <c r="A247" s="46" t="s">
        <v>495</v>
      </c>
      <c r="B247" s="32">
        <f t="shared" si="217"/>
        <v>242</v>
      </c>
      <c r="C247" s="10" t="s">
        <v>496</v>
      </c>
      <c r="D247" s="10" t="s">
        <v>497</v>
      </c>
      <c r="E247" s="136">
        <v>0</v>
      </c>
      <c r="F247" s="137">
        <v>29218</v>
      </c>
      <c r="G247" s="159">
        <v>100</v>
      </c>
      <c r="H247" s="159">
        <v>0</v>
      </c>
      <c r="I247" s="159">
        <v>100</v>
      </c>
      <c r="J247" s="159">
        <v>0</v>
      </c>
      <c r="K247" s="159">
        <v>100</v>
      </c>
      <c r="L247" s="159">
        <v>0</v>
      </c>
      <c r="M247" s="159">
        <v>100</v>
      </c>
      <c r="N247" s="159">
        <v>0</v>
      </c>
      <c r="O247" s="172">
        <v>0</v>
      </c>
      <c r="P247" s="172">
        <v>0</v>
      </c>
      <c r="Q247" s="172">
        <v>0</v>
      </c>
      <c r="R247" s="172">
        <v>0</v>
      </c>
      <c r="S247" s="172">
        <v>0</v>
      </c>
      <c r="T247" s="172">
        <v>0</v>
      </c>
      <c r="U247" s="172">
        <v>0</v>
      </c>
      <c r="V247" s="172">
        <v>0</v>
      </c>
      <c r="W247" s="172">
        <v>0</v>
      </c>
      <c r="X247" s="474">
        <v>0</v>
      </c>
      <c r="Y247" s="503">
        <v>0</v>
      </c>
    </row>
    <row r="248" spans="1:25" ht="15" outlineLevel="1">
      <c r="B248" s="29">
        <f t="shared" si="217"/>
        <v>243</v>
      </c>
      <c r="H248" s="13"/>
      <c r="O248" s="13"/>
      <c r="P248" s="13"/>
      <c r="Q248" s="168"/>
      <c r="R248" s="168"/>
      <c r="S248" s="168"/>
      <c r="T248" s="168"/>
      <c r="U248" s="168"/>
      <c r="V248" s="168"/>
      <c r="W248" s="168"/>
      <c r="X248" s="469"/>
      <c r="Y248" s="498"/>
    </row>
    <row r="249" spans="1:25" ht="15">
      <c r="B249" s="29">
        <f t="shared" si="217"/>
        <v>244</v>
      </c>
      <c r="H249" s="13"/>
      <c r="O249" s="13"/>
      <c r="P249" s="13"/>
      <c r="Q249" s="168"/>
      <c r="R249" s="168"/>
      <c r="S249" s="168"/>
      <c r="T249" s="168"/>
      <c r="U249" s="168"/>
      <c r="V249" s="168"/>
      <c r="W249" s="168"/>
      <c r="X249" s="469"/>
      <c r="Y249" s="498"/>
    </row>
    <row r="250" spans="1:25" ht="15">
      <c r="A250" s="36" t="s">
        <v>498</v>
      </c>
      <c r="B250" s="30">
        <f t="shared" si="217"/>
        <v>245</v>
      </c>
      <c r="C250" s="8"/>
      <c r="D250" s="8" t="s">
        <v>499</v>
      </c>
      <c r="E250" s="130">
        <f t="shared" ref="E250:G250" si="266">SUBTOTAL(9,E252:E267)</f>
        <v>222589.02</v>
      </c>
      <c r="F250" s="131">
        <f t="shared" si="266"/>
        <v>193828.68</v>
      </c>
      <c r="G250" s="156">
        <f t="shared" si="266"/>
        <v>223575</v>
      </c>
      <c r="H250" s="156">
        <v>145666.81</v>
      </c>
      <c r="I250" s="156">
        <f>I251+I261+I265</f>
        <v>221750</v>
      </c>
      <c r="J250" s="156">
        <v>209601.13</v>
      </c>
      <c r="K250" s="156">
        <f>SUBTOTAL(9,K252:K267)</f>
        <v>110300</v>
      </c>
      <c r="L250" s="156">
        <v>57710.41</v>
      </c>
      <c r="M250" s="156">
        <v>110300</v>
      </c>
      <c r="N250" s="156">
        <f>SUBTOTAL(9,N252:N267)</f>
        <v>168948.25</v>
      </c>
      <c r="O250" s="170">
        <f t="shared" ref="O250" si="267">SUBTOTAL(9,O252:O267)</f>
        <v>5109.84</v>
      </c>
      <c r="P250" s="170">
        <f t="shared" ref="P250:T250" si="268">SUBTOTAL(9,P252:P267)</f>
        <v>13807.21</v>
      </c>
      <c r="Q250" s="170">
        <f t="shared" si="268"/>
        <v>18805.72</v>
      </c>
      <c r="R250" s="170">
        <f t="shared" si="268"/>
        <v>24010.73</v>
      </c>
      <c r="S250" s="170">
        <f t="shared" si="268"/>
        <v>28628.93</v>
      </c>
      <c r="T250" s="170">
        <f t="shared" si="268"/>
        <v>32839.660000000003</v>
      </c>
      <c r="U250" s="170">
        <f t="shared" ref="U250" si="269">SUBTOTAL(9,U252:U267)</f>
        <v>37675.449999999997</v>
      </c>
      <c r="V250" s="170">
        <f t="shared" ref="V250:W250" si="270">SUBTOTAL(9,V252:V267)</f>
        <v>37909.839999999997</v>
      </c>
      <c r="W250" s="170">
        <f t="shared" si="270"/>
        <v>39141.760000000002</v>
      </c>
      <c r="X250" s="472">
        <v>39373.01</v>
      </c>
      <c r="Y250" s="501">
        <v>60588.36</v>
      </c>
    </row>
    <row r="251" spans="1:25" ht="15" outlineLevel="1">
      <c r="A251" s="45" t="s">
        <v>500</v>
      </c>
      <c r="B251" s="31">
        <f t="shared" si="217"/>
        <v>246</v>
      </c>
      <c r="C251" s="9"/>
      <c r="D251" s="9" t="s">
        <v>501</v>
      </c>
      <c r="E251" s="132">
        <f t="shared" ref="E251:G251" si="271">SUBTOTAL(9,E252:E259)</f>
        <v>119300</v>
      </c>
      <c r="F251" s="17">
        <f t="shared" si="271"/>
        <v>90539.66</v>
      </c>
      <c r="G251" s="157">
        <f t="shared" si="271"/>
        <v>95200</v>
      </c>
      <c r="H251" s="157">
        <v>18276.080000000002</v>
      </c>
      <c r="I251" s="157">
        <v>18150</v>
      </c>
      <c r="J251" s="157">
        <v>3369.7700000000004</v>
      </c>
      <c r="K251" s="157">
        <f>SUBTOTAL(9,K252:K259)</f>
        <v>26700</v>
      </c>
      <c r="L251" s="157">
        <v>7685.41</v>
      </c>
      <c r="M251" s="157">
        <v>26700</v>
      </c>
      <c r="N251" s="157">
        <f>SUBTOTAL(9,N252:N259)</f>
        <v>11000</v>
      </c>
      <c r="O251" s="171">
        <f t="shared" ref="O251" si="272">SUBTOTAL(9,O252:O259)</f>
        <v>2251.59</v>
      </c>
      <c r="P251" s="171">
        <f t="shared" ref="P251" si="273">SUBTOTAL(9,P252:P259)</f>
        <v>2628.96</v>
      </c>
      <c r="Q251" s="171">
        <f t="shared" ref="Q251:R251" si="274">SUBTOTAL(9,Q252:Q259)</f>
        <v>3377.47</v>
      </c>
      <c r="R251" s="171">
        <f t="shared" si="274"/>
        <v>4422.4799999999996</v>
      </c>
      <c r="S251" s="171">
        <f t="shared" ref="S251:T251" si="275">SUBTOTAL(9,S252:S259)</f>
        <v>4880.68</v>
      </c>
      <c r="T251" s="171">
        <f t="shared" si="275"/>
        <v>4931.41</v>
      </c>
      <c r="U251" s="171">
        <f t="shared" ref="U251" si="276">SUBTOTAL(9,U252:U259)</f>
        <v>5607.2</v>
      </c>
      <c r="V251" s="171">
        <f t="shared" ref="V251:W251" si="277">SUBTOTAL(9,V252:V259)</f>
        <v>5841.59</v>
      </c>
      <c r="W251" s="171">
        <f t="shared" si="277"/>
        <v>7073.51</v>
      </c>
      <c r="X251" s="473">
        <v>7304.76</v>
      </c>
      <c r="Y251" s="502">
        <v>7580.11</v>
      </c>
    </row>
    <row r="252" spans="1:25" ht="15" outlineLevel="2">
      <c r="A252" s="46" t="s">
        <v>502</v>
      </c>
      <c r="B252" s="32">
        <f t="shared" ref="B252:B277" si="278">ROW(B247)</f>
        <v>247</v>
      </c>
      <c r="C252" s="10" t="s">
        <v>59</v>
      </c>
      <c r="D252" s="10" t="s">
        <v>503</v>
      </c>
      <c r="E252" s="133">
        <v>0</v>
      </c>
      <c r="F252" s="18">
        <v>0</v>
      </c>
      <c r="G252" s="158">
        <v>3000</v>
      </c>
      <c r="H252" s="158"/>
      <c r="I252" s="158">
        <v>3000</v>
      </c>
      <c r="J252" s="158"/>
      <c r="K252" s="158">
        <v>5000</v>
      </c>
      <c r="L252" s="158">
        <v>0</v>
      </c>
      <c r="M252" s="158">
        <v>5000</v>
      </c>
      <c r="N252" s="158">
        <v>0</v>
      </c>
      <c r="O252" s="172">
        <v>0</v>
      </c>
      <c r="P252" s="172">
        <v>0</v>
      </c>
      <c r="Q252" s="172">
        <v>0</v>
      </c>
      <c r="R252" s="172">
        <v>0</v>
      </c>
      <c r="S252" s="172">
        <v>0</v>
      </c>
      <c r="T252" s="172">
        <v>0</v>
      </c>
      <c r="U252" s="172">
        <v>0</v>
      </c>
      <c r="V252" s="172">
        <v>0</v>
      </c>
      <c r="W252" s="172">
        <v>0</v>
      </c>
      <c r="X252" s="474">
        <v>0</v>
      </c>
      <c r="Y252" s="503">
        <v>0</v>
      </c>
    </row>
    <row r="253" spans="1:25" ht="15" outlineLevel="2">
      <c r="A253" s="46" t="s">
        <v>504</v>
      </c>
      <c r="B253" s="32">
        <f t="shared" si="278"/>
        <v>248</v>
      </c>
      <c r="C253" s="10" t="s">
        <v>59</v>
      </c>
      <c r="D253" s="10" t="s">
        <v>505</v>
      </c>
      <c r="E253" s="133">
        <v>0</v>
      </c>
      <c r="F253" s="18">
        <v>0</v>
      </c>
      <c r="G253" s="158">
        <v>8000</v>
      </c>
      <c r="H253" s="158"/>
      <c r="I253" s="158">
        <v>8000</v>
      </c>
      <c r="J253" s="158"/>
      <c r="K253" s="158">
        <v>8000</v>
      </c>
      <c r="L253" s="158">
        <v>0</v>
      </c>
      <c r="M253" s="158">
        <v>8000</v>
      </c>
      <c r="N253" s="158">
        <v>0</v>
      </c>
      <c r="O253" s="172">
        <v>0</v>
      </c>
      <c r="P253" s="172">
        <v>0</v>
      </c>
      <c r="Q253" s="172">
        <v>0</v>
      </c>
      <c r="R253" s="172">
        <v>0</v>
      </c>
      <c r="S253" s="172">
        <v>0</v>
      </c>
      <c r="T253" s="172">
        <v>0</v>
      </c>
      <c r="U253" s="172">
        <v>0</v>
      </c>
      <c r="V253" s="172">
        <v>0</v>
      </c>
      <c r="W253" s="172">
        <v>0</v>
      </c>
      <c r="X253" s="474">
        <v>0</v>
      </c>
      <c r="Y253" s="503">
        <v>0</v>
      </c>
    </row>
    <row r="254" spans="1:25" ht="15" outlineLevel="2">
      <c r="A254" s="46" t="s">
        <v>506</v>
      </c>
      <c r="B254" s="32">
        <f t="shared" si="278"/>
        <v>249</v>
      </c>
      <c r="C254" s="10" t="s">
        <v>507</v>
      </c>
      <c r="D254" s="12" t="s">
        <v>508</v>
      </c>
      <c r="E254" s="133">
        <v>60000</v>
      </c>
      <c r="F254" s="134">
        <v>44554.29</v>
      </c>
      <c r="G254" s="158">
        <v>0</v>
      </c>
      <c r="H254" s="158">
        <v>5783.25</v>
      </c>
      <c r="I254" s="158">
        <v>0</v>
      </c>
      <c r="J254" s="158">
        <v>-1650</v>
      </c>
      <c r="K254" s="158">
        <v>0</v>
      </c>
      <c r="L254" s="158">
        <v>0</v>
      </c>
      <c r="M254" s="158">
        <v>0</v>
      </c>
      <c r="N254" s="158">
        <v>0</v>
      </c>
      <c r="O254" s="172">
        <v>0</v>
      </c>
      <c r="P254" s="172">
        <v>0</v>
      </c>
      <c r="Q254" s="172">
        <v>0</v>
      </c>
      <c r="R254" s="172">
        <v>0</v>
      </c>
      <c r="S254" s="172">
        <v>0</v>
      </c>
      <c r="T254" s="172">
        <v>0</v>
      </c>
      <c r="U254" s="172">
        <v>0</v>
      </c>
      <c r="V254" s="172">
        <v>0</v>
      </c>
      <c r="W254" s="172">
        <v>0</v>
      </c>
      <c r="X254" s="474">
        <v>0</v>
      </c>
      <c r="Y254" s="503">
        <v>0</v>
      </c>
    </row>
    <row r="255" spans="1:25" ht="15" outlineLevel="2">
      <c r="A255" s="46" t="s">
        <v>509</v>
      </c>
      <c r="B255" s="32">
        <f t="shared" si="278"/>
        <v>250</v>
      </c>
      <c r="C255" s="10" t="s">
        <v>510</v>
      </c>
      <c r="D255" s="12" t="s">
        <v>511</v>
      </c>
      <c r="E255" s="133">
        <v>50000</v>
      </c>
      <c r="F255" s="134">
        <v>45570</v>
      </c>
      <c r="G255" s="158">
        <v>76000</v>
      </c>
      <c r="H255" s="158">
        <v>10690</v>
      </c>
      <c r="I255" s="158">
        <v>0</v>
      </c>
      <c r="J255" s="158">
        <v>0</v>
      </c>
      <c r="K255" s="158">
        <v>1000</v>
      </c>
      <c r="L255" s="158">
        <v>0</v>
      </c>
      <c r="M255" s="158">
        <v>1000</v>
      </c>
      <c r="N255" s="158">
        <v>0</v>
      </c>
      <c r="O255" s="172">
        <v>0</v>
      </c>
      <c r="P255" s="172">
        <v>0</v>
      </c>
      <c r="Q255" s="172">
        <v>0</v>
      </c>
      <c r="R255" s="172">
        <v>0</v>
      </c>
      <c r="S255" s="172">
        <v>0</v>
      </c>
      <c r="T255" s="172">
        <v>0</v>
      </c>
      <c r="U255" s="172">
        <v>0</v>
      </c>
      <c r="V255" s="172">
        <v>0</v>
      </c>
      <c r="W255" s="172">
        <v>0</v>
      </c>
      <c r="X255" s="474">
        <v>0</v>
      </c>
      <c r="Y255" s="503">
        <v>0</v>
      </c>
    </row>
    <row r="256" spans="1:25" ht="15" outlineLevel="2">
      <c r="A256" s="46" t="s">
        <v>512</v>
      </c>
      <c r="B256" s="32">
        <f t="shared" si="278"/>
        <v>251</v>
      </c>
      <c r="C256" s="10" t="s">
        <v>513</v>
      </c>
      <c r="D256" s="12" t="s">
        <v>514</v>
      </c>
      <c r="E256" s="133">
        <v>8000</v>
      </c>
      <c r="F256" s="134">
        <v>265.37</v>
      </c>
      <c r="G256" s="158">
        <v>7000</v>
      </c>
      <c r="H256" s="158">
        <v>1652.83</v>
      </c>
      <c r="I256" s="158">
        <v>7000</v>
      </c>
      <c r="J256" s="158">
        <v>4869.7700000000004</v>
      </c>
      <c r="K256" s="158">
        <v>10000</v>
      </c>
      <c r="L256" s="158">
        <v>7585.41</v>
      </c>
      <c r="M256" s="158">
        <v>10000</v>
      </c>
      <c r="N256" s="158">
        <v>10000</v>
      </c>
      <c r="O256" s="172">
        <v>2251.59</v>
      </c>
      <c r="P256" s="172">
        <v>2628.96</v>
      </c>
      <c r="Q256" s="172">
        <v>3277.47</v>
      </c>
      <c r="R256" s="172">
        <v>4322.4799999999996</v>
      </c>
      <c r="S256" s="172">
        <v>4780.68</v>
      </c>
      <c r="T256" s="172">
        <v>4831.41</v>
      </c>
      <c r="U256" s="172">
        <v>5507.2</v>
      </c>
      <c r="V256" s="172">
        <v>5741.59</v>
      </c>
      <c r="W256" s="172">
        <v>6973.51</v>
      </c>
      <c r="X256" s="474">
        <v>7204.76</v>
      </c>
      <c r="Y256" s="503">
        <v>7480.11</v>
      </c>
    </row>
    <row r="257" spans="1:28" ht="15" outlineLevel="2">
      <c r="A257" s="46" t="s">
        <v>515</v>
      </c>
      <c r="B257" s="32">
        <f t="shared" si="278"/>
        <v>252</v>
      </c>
      <c r="C257" s="10" t="s">
        <v>516</v>
      </c>
      <c r="D257" s="10" t="s">
        <v>517</v>
      </c>
      <c r="E257" s="133">
        <v>200</v>
      </c>
      <c r="F257" s="134">
        <v>150</v>
      </c>
      <c r="G257" s="158">
        <v>500</v>
      </c>
      <c r="H257" s="158">
        <v>150</v>
      </c>
      <c r="I257" s="158">
        <v>150</v>
      </c>
      <c r="J257" s="158">
        <v>150</v>
      </c>
      <c r="K257" s="158">
        <v>2000</v>
      </c>
      <c r="L257" s="158">
        <v>100</v>
      </c>
      <c r="M257" s="158">
        <v>2000</v>
      </c>
      <c r="N257" s="158">
        <v>500</v>
      </c>
      <c r="O257" s="173">
        <v>0</v>
      </c>
      <c r="P257" s="172">
        <v>0</v>
      </c>
      <c r="Q257" s="172">
        <v>100</v>
      </c>
      <c r="R257" s="172">
        <v>100</v>
      </c>
      <c r="S257" s="172">
        <v>100</v>
      </c>
      <c r="T257" s="172">
        <v>100</v>
      </c>
      <c r="U257" s="172">
        <v>100</v>
      </c>
      <c r="V257" s="172">
        <v>100</v>
      </c>
      <c r="W257" s="172">
        <v>100</v>
      </c>
      <c r="X257" s="474">
        <v>100</v>
      </c>
      <c r="Y257" s="503">
        <v>100</v>
      </c>
    </row>
    <row r="258" spans="1:28" ht="15" outlineLevel="2">
      <c r="A258" s="46" t="s">
        <v>518</v>
      </c>
      <c r="B258" s="32">
        <f t="shared" si="278"/>
        <v>253</v>
      </c>
      <c r="C258" s="10" t="s">
        <v>519</v>
      </c>
      <c r="D258" s="10" t="s">
        <v>520</v>
      </c>
      <c r="E258" s="133">
        <v>200</v>
      </c>
      <c r="F258" s="134">
        <v>0</v>
      </c>
      <c r="G258" s="158">
        <v>200</v>
      </c>
      <c r="H258" s="158">
        <v>0</v>
      </c>
      <c r="I258" s="158">
        <v>0</v>
      </c>
      <c r="J258" s="158">
        <v>0</v>
      </c>
      <c r="K258" s="158">
        <v>200</v>
      </c>
      <c r="L258" s="158">
        <v>0</v>
      </c>
      <c r="M258" s="158">
        <v>200</v>
      </c>
      <c r="N258" s="158">
        <v>0</v>
      </c>
      <c r="O258" s="172">
        <v>0</v>
      </c>
      <c r="P258" s="172">
        <v>0</v>
      </c>
      <c r="Q258" s="172">
        <v>0</v>
      </c>
      <c r="R258" s="172">
        <v>0</v>
      </c>
      <c r="S258" s="172">
        <v>0</v>
      </c>
      <c r="T258" s="172">
        <v>0</v>
      </c>
      <c r="U258" s="172">
        <v>0</v>
      </c>
      <c r="V258" s="172">
        <v>0</v>
      </c>
      <c r="W258" s="172">
        <v>0</v>
      </c>
      <c r="X258" s="474">
        <v>0</v>
      </c>
      <c r="Y258" s="503">
        <v>0</v>
      </c>
    </row>
    <row r="259" spans="1:28" ht="15" outlineLevel="2">
      <c r="A259" s="46" t="s">
        <v>521</v>
      </c>
      <c r="B259" s="32">
        <f t="shared" si="278"/>
        <v>254</v>
      </c>
      <c r="C259" s="10" t="s">
        <v>522</v>
      </c>
      <c r="D259" s="10" t="s">
        <v>49</v>
      </c>
      <c r="E259" s="136">
        <v>900</v>
      </c>
      <c r="F259" s="137">
        <v>0</v>
      </c>
      <c r="G259" s="159">
        <v>500</v>
      </c>
      <c r="H259" s="159">
        <v>0</v>
      </c>
      <c r="I259" s="159">
        <v>0</v>
      </c>
      <c r="J259" s="159">
        <v>0</v>
      </c>
      <c r="K259" s="159">
        <v>500</v>
      </c>
      <c r="L259" s="159">
        <v>0</v>
      </c>
      <c r="M259" s="159">
        <v>500</v>
      </c>
      <c r="N259" s="159">
        <v>500</v>
      </c>
      <c r="O259" s="172">
        <v>0</v>
      </c>
      <c r="P259" s="172">
        <v>0</v>
      </c>
      <c r="Q259" s="172">
        <v>0</v>
      </c>
      <c r="R259" s="172">
        <v>0</v>
      </c>
      <c r="S259" s="172">
        <v>0</v>
      </c>
      <c r="T259" s="172">
        <v>0</v>
      </c>
      <c r="U259" s="172">
        <v>0</v>
      </c>
      <c r="V259" s="172">
        <v>0</v>
      </c>
      <c r="W259" s="172">
        <v>0</v>
      </c>
      <c r="X259" s="474">
        <v>0</v>
      </c>
      <c r="Y259" s="503">
        <v>0</v>
      </c>
    </row>
    <row r="260" spans="1:28" ht="15" outlineLevel="1">
      <c r="B260" s="29">
        <f t="shared" si="278"/>
        <v>255</v>
      </c>
      <c r="H260" s="13"/>
      <c r="O260" s="168"/>
      <c r="P260" s="168"/>
      <c r="Q260" s="168"/>
      <c r="R260" s="168"/>
      <c r="S260" s="168"/>
      <c r="T260" s="168"/>
      <c r="U260" s="168"/>
      <c r="V260" s="168"/>
      <c r="W260" s="168"/>
      <c r="X260" s="469"/>
      <c r="Y260" s="498"/>
    </row>
    <row r="261" spans="1:28" ht="15" outlineLevel="1">
      <c r="A261" s="45" t="s">
        <v>523</v>
      </c>
      <c r="B261" s="31">
        <f t="shared" si="278"/>
        <v>256</v>
      </c>
      <c r="C261" s="9"/>
      <c r="D261" s="9" t="s">
        <v>524</v>
      </c>
      <c r="E261" s="138">
        <f t="shared" ref="E261:G261" si="279">SUBTOTAL(9,E262:E263)</f>
        <v>3289.02</v>
      </c>
      <c r="F261" s="139">
        <f t="shared" si="279"/>
        <v>3289.02</v>
      </c>
      <c r="G261" s="160">
        <f t="shared" si="279"/>
        <v>3375</v>
      </c>
      <c r="H261" s="160">
        <v>2390.73</v>
      </c>
      <c r="I261" s="160">
        <f>SUBTOTAL(9,I262:I263)</f>
        <v>3600</v>
      </c>
      <c r="J261" s="160">
        <v>6231.36</v>
      </c>
      <c r="K261" s="160">
        <f>SUBTOTAL(9,K262:K263)</f>
        <v>33600</v>
      </c>
      <c r="L261" s="160">
        <v>25</v>
      </c>
      <c r="M261" s="160">
        <v>33600</v>
      </c>
      <c r="N261" s="160">
        <f>SUBTOTAL(9,N262:N263)</f>
        <v>2948.25</v>
      </c>
      <c r="O261" s="171">
        <f t="shared" ref="O261" si="280">SUBTOTAL(9,O262:O263)</f>
        <v>2858.25</v>
      </c>
      <c r="P261" s="171">
        <f t="shared" ref="P261" si="281">SUBTOTAL(9,P262:P263)</f>
        <v>2858.25</v>
      </c>
      <c r="Q261" s="171">
        <f t="shared" ref="Q261:R261" si="282">SUBTOTAL(9,Q262:Q263)</f>
        <v>2948.25</v>
      </c>
      <c r="R261" s="171">
        <f t="shared" si="282"/>
        <v>2948.25</v>
      </c>
      <c r="S261" s="171">
        <f t="shared" ref="S261:T261" si="283">SUBTOTAL(9,S262:S263)</f>
        <v>2948.25</v>
      </c>
      <c r="T261" s="171">
        <f t="shared" si="283"/>
        <v>2948.25</v>
      </c>
      <c r="U261" s="171">
        <f t="shared" ref="U261" si="284">SUBTOTAL(9,U262:U263)</f>
        <v>2948.25</v>
      </c>
      <c r="V261" s="171">
        <f t="shared" ref="V261:W261" si="285">SUBTOTAL(9,V262:V263)</f>
        <v>2948.25</v>
      </c>
      <c r="W261" s="171">
        <f t="shared" si="285"/>
        <v>2948.25</v>
      </c>
      <c r="X261" s="473">
        <v>2948.25</v>
      </c>
      <c r="Y261" s="502">
        <v>3008.25</v>
      </c>
    </row>
    <row r="262" spans="1:28" ht="15" outlineLevel="2">
      <c r="A262" s="46" t="s">
        <v>525</v>
      </c>
      <c r="B262" s="32">
        <f t="shared" si="278"/>
        <v>257</v>
      </c>
      <c r="C262" s="10" t="s">
        <v>526</v>
      </c>
      <c r="D262" s="10" t="s">
        <v>527</v>
      </c>
      <c r="E262" s="133">
        <v>3264.02</v>
      </c>
      <c r="F262" s="134">
        <v>3264.02</v>
      </c>
      <c r="G262" s="158">
        <v>3300</v>
      </c>
      <c r="H262" s="158">
        <v>2365.73</v>
      </c>
      <c r="I262" s="158">
        <v>3500</v>
      </c>
      <c r="J262" s="158">
        <v>6206.36</v>
      </c>
      <c r="K262" s="158">
        <v>33500</v>
      </c>
      <c r="L262" s="158">
        <v>0</v>
      </c>
      <c r="M262" s="158">
        <v>33500</v>
      </c>
      <c r="N262" s="474">
        <v>2858.25</v>
      </c>
      <c r="O262" s="172">
        <v>2858.25</v>
      </c>
      <c r="P262" s="172">
        <v>2858.25</v>
      </c>
      <c r="Q262" s="172">
        <v>2858.25</v>
      </c>
      <c r="R262" s="172">
        <v>2858.25</v>
      </c>
      <c r="S262" s="172">
        <v>2858.25</v>
      </c>
      <c r="T262" s="172">
        <v>2858.25</v>
      </c>
      <c r="U262" s="172">
        <v>2858.25</v>
      </c>
      <c r="V262" s="172">
        <v>2858.25</v>
      </c>
      <c r="W262" s="172">
        <v>2858.25</v>
      </c>
      <c r="X262" s="474">
        <v>2858.25</v>
      </c>
      <c r="Y262" s="503">
        <v>2858.25</v>
      </c>
      <c r="AB262" s="391"/>
    </row>
    <row r="263" spans="1:28" ht="15" outlineLevel="2">
      <c r="A263" s="46" t="s">
        <v>528</v>
      </c>
      <c r="B263" s="32">
        <f t="shared" si="278"/>
        <v>258</v>
      </c>
      <c r="C263" s="10" t="s">
        <v>529</v>
      </c>
      <c r="D263" s="10" t="s">
        <v>530</v>
      </c>
      <c r="E263" s="136">
        <v>25</v>
      </c>
      <c r="F263" s="137">
        <v>25</v>
      </c>
      <c r="G263" s="159">
        <v>75</v>
      </c>
      <c r="H263" s="159">
        <v>25</v>
      </c>
      <c r="I263" s="159">
        <v>100</v>
      </c>
      <c r="J263" s="159">
        <v>25</v>
      </c>
      <c r="K263" s="159">
        <v>100</v>
      </c>
      <c r="L263" s="159">
        <v>25</v>
      </c>
      <c r="M263" s="159">
        <v>100</v>
      </c>
      <c r="N263" s="159">
        <v>90</v>
      </c>
      <c r="O263" s="172">
        <v>0</v>
      </c>
      <c r="P263" s="172">
        <v>0</v>
      </c>
      <c r="Q263" s="172">
        <v>90</v>
      </c>
      <c r="R263" s="172">
        <v>90</v>
      </c>
      <c r="S263" s="172">
        <v>90</v>
      </c>
      <c r="T263" s="172">
        <v>90</v>
      </c>
      <c r="U263" s="172">
        <v>90</v>
      </c>
      <c r="V263" s="172">
        <v>90</v>
      </c>
      <c r="W263" s="172">
        <v>90</v>
      </c>
      <c r="X263" s="474">
        <v>90</v>
      </c>
      <c r="Y263" s="503">
        <v>150</v>
      </c>
      <c r="AB263" s="391"/>
    </row>
    <row r="264" spans="1:28" ht="15" outlineLevel="1">
      <c r="B264" s="29">
        <f t="shared" si="278"/>
        <v>259</v>
      </c>
      <c r="H264" s="13"/>
      <c r="O264" s="13"/>
      <c r="P264" s="13"/>
      <c r="Q264" s="168"/>
      <c r="R264" s="168"/>
      <c r="S264" s="168"/>
      <c r="T264" s="168"/>
      <c r="U264" s="168"/>
      <c r="V264" s="168"/>
      <c r="W264" s="168"/>
      <c r="X264" s="469"/>
      <c r="Y264" s="498"/>
    </row>
    <row r="265" spans="1:28" ht="15" outlineLevel="1">
      <c r="A265" s="45" t="s">
        <v>531</v>
      </c>
      <c r="B265" s="31">
        <f t="shared" si="278"/>
        <v>260</v>
      </c>
      <c r="C265" s="9"/>
      <c r="D265" s="9" t="s">
        <v>532</v>
      </c>
      <c r="E265" s="138">
        <f t="shared" ref="E265:G265" si="286">SUBTOTAL(9,E266:E267)</f>
        <v>100000</v>
      </c>
      <c r="F265" s="139">
        <f t="shared" si="286"/>
        <v>100000</v>
      </c>
      <c r="G265" s="160">
        <f t="shared" si="286"/>
        <v>125000</v>
      </c>
      <c r="H265" s="160">
        <v>125000</v>
      </c>
      <c r="I265" s="160">
        <v>200000</v>
      </c>
      <c r="J265" s="160">
        <v>200000</v>
      </c>
      <c r="K265" s="160">
        <f t="shared" ref="K265:O265" si="287">SUBTOTAL(9,K266:K267)</f>
        <v>50000</v>
      </c>
      <c r="L265" s="160">
        <v>50000</v>
      </c>
      <c r="M265" s="160">
        <v>50000</v>
      </c>
      <c r="N265" s="160">
        <f>SUBTOTAL(9,N266:N267)</f>
        <v>155000</v>
      </c>
      <c r="O265" s="171">
        <f t="shared" si="287"/>
        <v>0</v>
      </c>
      <c r="P265" s="171">
        <f t="shared" ref="P265" si="288">SUBTOTAL(9,P266:P267)</f>
        <v>8320</v>
      </c>
      <c r="Q265" s="171">
        <f t="shared" ref="Q265:R265" si="289">SUBTOTAL(9,Q266:Q267)</f>
        <v>12480</v>
      </c>
      <c r="R265" s="171">
        <f t="shared" si="289"/>
        <v>16640</v>
      </c>
      <c r="S265" s="171">
        <f t="shared" ref="S265:T265" si="290">SUBTOTAL(9,S266:S267)</f>
        <v>20800</v>
      </c>
      <c r="T265" s="171">
        <f t="shared" si="290"/>
        <v>24960</v>
      </c>
      <c r="U265" s="171">
        <f t="shared" ref="U265" si="291">SUBTOTAL(9,U266:U267)</f>
        <v>29120</v>
      </c>
      <c r="V265" s="171">
        <f t="shared" ref="V265:W265" si="292">SUBTOTAL(9,V266:V267)</f>
        <v>29120</v>
      </c>
      <c r="W265" s="171">
        <f t="shared" si="292"/>
        <v>29120</v>
      </c>
      <c r="X265" s="473">
        <v>29120</v>
      </c>
      <c r="Y265" s="502">
        <v>50000</v>
      </c>
    </row>
    <row r="266" spans="1:28" ht="15" outlineLevel="1">
      <c r="A266" s="46" t="s">
        <v>525</v>
      </c>
      <c r="B266" s="32">
        <f t="shared" si="278"/>
        <v>261</v>
      </c>
      <c r="C266" s="10" t="s">
        <v>533</v>
      </c>
      <c r="D266" s="10" t="s">
        <v>534</v>
      </c>
      <c r="E266" s="133">
        <v>68430.649999999994</v>
      </c>
      <c r="F266" s="134">
        <v>100000</v>
      </c>
      <c r="G266" s="158">
        <v>46492.17</v>
      </c>
      <c r="H266" s="158">
        <v>85625</v>
      </c>
      <c r="I266" s="158">
        <v>45000</v>
      </c>
      <c r="J266" s="158">
        <v>137000</v>
      </c>
      <c r="K266" s="158">
        <v>50000</v>
      </c>
      <c r="L266" s="158">
        <v>50000</v>
      </c>
      <c r="M266" s="158">
        <v>50000</v>
      </c>
      <c r="N266" s="158">
        <v>55000</v>
      </c>
      <c r="O266" s="172">
        <v>0</v>
      </c>
      <c r="P266" s="172">
        <v>8320</v>
      </c>
      <c r="Q266" s="172">
        <v>12480</v>
      </c>
      <c r="R266" s="172">
        <v>16640</v>
      </c>
      <c r="S266" s="172">
        <v>20800</v>
      </c>
      <c r="T266" s="172">
        <v>24960</v>
      </c>
      <c r="U266" s="172">
        <v>29120</v>
      </c>
      <c r="V266" s="172">
        <v>29120</v>
      </c>
      <c r="W266" s="172">
        <v>29120</v>
      </c>
      <c r="X266" s="474">
        <v>29120</v>
      </c>
      <c r="Y266" s="503">
        <v>50000</v>
      </c>
    </row>
    <row r="267" spans="1:28" ht="15" outlineLevel="1">
      <c r="A267" s="46" t="s">
        <v>528</v>
      </c>
      <c r="B267" s="32">
        <f t="shared" si="278"/>
        <v>262</v>
      </c>
      <c r="C267" s="10" t="s">
        <v>535</v>
      </c>
      <c r="D267" s="12" t="s">
        <v>536</v>
      </c>
      <c r="E267" s="136">
        <v>31569.35</v>
      </c>
      <c r="F267" s="137">
        <v>0</v>
      </c>
      <c r="G267" s="159">
        <v>78507.83</v>
      </c>
      <c r="H267" s="159">
        <v>39375</v>
      </c>
      <c r="I267" s="159">
        <v>155000</v>
      </c>
      <c r="J267" s="159">
        <v>63000</v>
      </c>
      <c r="K267" s="159">
        <v>0</v>
      </c>
      <c r="L267" s="159">
        <v>0</v>
      </c>
      <c r="M267" s="159">
        <v>0</v>
      </c>
      <c r="N267" s="159">
        <v>100000</v>
      </c>
      <c r="O267" s="172">
        <v>0</v>
      </c>
      <c r="P267" s="172">
        <v>0</v>
      </c>
      <c r="Q267" s="172">
        <v>0</v>
      </c>
      <c r="R267" s="172">
        <v>0</v>
      </c>
      <c r="S267" s="172">
        <v>0</v>
      </c>
      <c r="T267" s="172">
        <v>0</v>
      </c>
      <c r="U267" s="172">
        <v>0</v>
      </c>
      <c r="V267" s="172">
        <v>0</v>
      </c>
      <c r="W267" s="172">
        <v>0</v>
      </c>
      <c r="X267" s="474">
        <v>0</v>
      </c>
      <c r="Y267" s="503">
        <v>0</v>
      </c>
    </row>
    <row r="268" spans="1:28" ht="15">
      <c r="B268" s="29">
        <f t="shared" si="278"/>
        <v>263</v>
      </c>
      <c r="H268" s="13"/>
      <c r="O268" s="168"/>
      <c r="P268" s="168"/>
      <c r="Q268" s="168"/>
      <c r="R268" s="168"/>
      <c r="S268" s="168"/>
      <c r="T268" s="168"/>
      <c r="U268" s="168"/>
      <c r="V268" s="168"/>
      <c r="W268" s="168"/>
      <c r="X268" s="469"/>
      <c r="Y268" s="498"/>
    </row>
    <row r="269" spans="1:28" ht="15">
      <c r="A269" s="36" t="s">
        <v>537</v>
      </c>
      <c r="B269" s="30">
        <f t="shared" si="278"/>
        <v>264</v>
      </c>
      <c r="C269" s="8"/>
      <c r="D269" s="8" t="s">
        <v>538</v>
      </c>
      <c r="E269" s="130">
        <f t="shared" ref="E269:G269" si="293">SUBTOTAL(9,E271:E272)</f>
        <v>11500</v>
      </c>
      <c r="F269" s="131">
        <f t="shared" si="293"/>
        <v>950</v>
      </c>
      <c r="G269" s="156">
        <f t="shared" si="293"/>
        <v>16500</v>
      </c>
      <c r="H269" s="156">
        <v>2500</v>
      </c>
      <c r="I269" s="156">
        <v>6000</v>
      </c>
      <c r="J269" s="156">
        <v>2000</v>
      </c>
      <c r="K269" s="156">
        <f t="shared" ref="K269:O269" si="294">SUBTOTAL(9,K271:K272)</f>
        <v>11500</v>
      </c>
      <c r="L269" s="156">
        <v>5900</v>
      </c>
      <c r="M269" s="156">
        <v>11500</v>
      </c>
      <c r="N269" s="156">
        <f>SUBTOTAL(9,N271:N272)</f>
        <v>2000</v>
      </c>
      <c r="O269" s="170">
        <f t="shared" si="294"/>
        <v>1400</v>
      </c>
      <c r="P269" s="170">
        <f t="shared" ref="P269" si="295">SUBTOTAL(9,P271:P272)</f>
        <v>1400</v>
      </c>
      <c r="Q269" s="170">
        <f t="shared" ref="Q269:R269" si="296">SUBTOTAL(9,Q271:Q272)</f>
        <v>1400</v>
      </c>
      <c r="R269" s="170">
        <f t="shared" si="296"/>
        <v>2000</v>
      </c>
      <c r="S269" s="170">
        <f t="shared" ref="S269:T269" si="297">SUBTOTAL(9,S271:S272)</f>
        <v>2000</v>
      </c>
      <c r="T269" s="170">
        <f t="shared" si="297"/>
        <v>2000</v>
      </c>
      <c r="U269" s="170">
        <f t="shared" ref="U269" si="298">SUBTOTAL(9,U271:U272)</f>
        <v>2000</v>
      </c>
      <c r="V269" s="170">
        <f t="shared" ref="V269:W269" si="299">SUBTOTAL(9,V271:V272)</f>
        <v>2000</v>
      </c>
      <c r="W269" s="170">
        <f t="shared" si="299"/>
        <v>2000</v>
      </c>
      <c r="X269" s="472">
        <v>2000</v>
      </c>
      <c r="Y269" s="501">
        <v>2000</v>
      </c>
    </row>
    <row r="270" spans="1:28" ht="15" outlineLevel="1">
      <c r="A270" s="45" t="s">
        <v>539</v>
      </c>
      <c r="B270" s="31">
        <f t="shared" si="278"/>
        <v>265</v>
      </c>
      <c r="C270" s="9"/>
      <c r="D270" s="9" t="s">
        <v>540</v>
      </c>
      <c r="E270" s="132">
        <f t="shared" ref="E270:G270" si="300">SUBTOTAL(9,E271:E273)</f>
        <v>11500</v>
      </c>
      <c r="F270" s="17">
        <f t="shared" si="300"/>
        <v>950</v>
      </c>
      <c r="G270" s="157">
        <f t="shared" si="300"/>
        <v>16500</v>
      </c>
      <c r="H270" s="157">
        <v>2500</v>
      </c>
      <c r="I270" s="157">
        <v>6000</v>
      </c>
      <c r="J270" s="157">
        <v>2000</v>
      </c>
      <c r="K270" s="157">
        <f t="shared" ref="K270:O270" si="301">SUBTOTAL(9,K271:K273)</f>
        <v>11500</v>
      </c>
      <c r="L270" s="157">
        <v>5900</v>
      </c>
      <c r="M270" s="157">
        <v>11500</v>
      </c>
      <c r="N270" s="157">
        <f>SUBTOTAL(9,N271:N273)</f>
        <v>2000</v>
      </c>
      <c r="O270" s="171">
        <f t="shared" si="301"/>
        <v>1400</v>
      </c>
      <c r="P270" s="171">
        <f t="shared" ref="P270" si="302">SUBTOTAL(9,P271:P273)</f>
        <v>1400</v>
      </c>
      <c r="Q270" s="171">
        <f t="shared" ref="Q270:R270" si="303">SUBTOTAL(9,Q271:Q273)</f>
        <v>1400</v>
      </c>
      <c r="R270" s="171">
        <f t="shared" si="303"/>
        <v>2000</v>
      </c>
      <c r="S270" s="171">
        <f t="shared" ref="S270:T270" si="304">SUBTOTAL(9,S271:S273)</f>
        <v>2000</v>
      </c>
      <c r="T270" s="171">
        <f t="shared" si="304"/>
        <v>2000</v>
      </c>
      <c r="U270" s="171">
        <f t="shared" ref="U270" si="305">SUBTOTAL(9,U271:U273)</f>
        <v>2000</v>
      </c>
      <c r="V270" s="171">
        <f t="shared" ref="V270:W270" si="306">SUBTOTAL(9,V271:V273)</f>
        <v>2000</v>
      </c>
      <c r="W270" s="171">
        <f t="shared" si="306"/>
        <v>2000</v>
      </c>
      <c r="X270" s="473">
        <v>2000</v>
      </c>
      <c r="Y270" s="502">
        <v>2000</v>
      </c>
    </row>
    <row r="271" spans="1:28" ht="15" outlineLevel="2">
      <c r="A271" s="46" t="s">
        <v>541</v>
      </c>
      <c r="B271" s="32">
        <f t="shared" si="278"/>
        <v>266</v>
      </c>
      <c r="C271" s="10" t="s">
        <v>539</v>
      </c>
      <c r="D271" s="10" t="s">
        <v>542</v>
      </c>
      <c r="E271" s="133">
        <v>10000</v>
      </c>
      <c r="F271" s="134">
        <v>950</v>
      </c>
      <c r="G271" s="158">
        <v>15000</v>
      </c>
      <c r="H271" s="158">
        <v>2500</v>
      </c>
      <c r="I271" s="158">
        <v>5000</v>
      </c>
      <c r="J271" s="158">
        <v>2000</v>
      </c>
      <c r="K271" s="158">
        <v>10000</v>
      </c>
      <c r="L271" s="158">
        <v>5900</v>
      </c>
      <c r="M271" s="158">
        <v>10000</v>
      </c>
      <c r="N271" s="158">
        <v>2000</v>
      </c>
      <c r="O271" s="172">
        <v>1400</v>
      </c>
      <c r="P271" s="172">
        <v>1400</v>
      </c>
      <c r="Q271" s="172">
        <v>1400</v>
      </c>
      <c r="R271" s="172">
        <v>2000</v>
      </c>
      <c r="S271" s="172">
        <v>2000</v>
      </c>
      <c r="T271" s="172">
        <v>2000</v>
      </c>
      <c r="U271" s="172">
        <v>2000</v>
      </c>
      <c r="V271" s="172">
        <v>2000</v>
      </c>
      <c r="W271" s="172">
        <v>2000</v>
      </c>
      <c r="X271" s="474">
        <v>2000</v>
      </c>
      <c r="Y271" s="503">
        <v>2000</v>
      </c>
    </row>
    <row r="272" spans="1:28" ht="15" outlineLevel="2">
      <c r="A272" s="46" t="s">
        <v>543</v>
      </c>
      <c r="B272" s="32">
        <f t="shared" si="278"/>
        <v>267</v>
      </c>
      <c r="C272" s="10" t="s">
        <v>544</v>
      </c>
      <c r="D272" s="10" t="s">
        <v>545</v>
      </c>
      <c r="E272" s="136">
        <v>1500</v>
      </c>
      <c r="F272" s="137">
        <v>0</v>
      </c>
      <c r="G272" s="159">
        <v>1500</v>
      </c>
      <c r="H272" s="159">
        <v>0</v>
      </c>
      <c r="I272" s="159">
        <v>1000</v>
      </c>
      <c r="J272" s="159">
        <v>0</v>
      </c>
      <c r="K272" s="159">
        <v>1500</v>
      </c>
      <c r="L272" s="159">
        <v>0</v>
      </c>
      <c r="M272" s="159">
        <v>1500</v>
      </c>
      <c r="N272" s="159">
        <v>0</v>
      </c>
      <c r="O272" s="172">
        <v>0</v>
      </c>
      <c r="P272" s="172">
        <v>0</v>
      </c>
      <c r="Q272" s="172">
        <v>0</v>
      </c>
      <c r="R272" s="172">
        <v>0</v>
      </c>
      <c r="S272" s="172">
        <v>0</v>
      </c>
      <c r="T272" s="172">
        <v>0</v>
      </c>
      <c r="U272" s="172">
        <v>0</v>
      </c>
      <c r="V272" s="172">
        <v>0</v>
      </c>
      <c r="W272" s="172">
        <v>0</v>
      </c>
      <c r="X272" s="474">
        <v>0</v>
      </c>
      <c r="Y272" s="503">
        <v>0</v>
      </c>
    </row>
    <row r="273" spans="1:25" ht="15">
      <c r="B273" s="29">
        <f t="shared" si="278"/>
        <v>268</v>
      </c>
      <c r="H273" s="13"/>
      <c r="O273" s="168"/>
      <c r="P273" s="168"/>
      <c r="Q273" s="168"/>
      <c r="R273" s="168"/>
      <c r="S273" s="168"/>
      <c r="T273" s="168"/>
      <c r="U273" s="168"/>
      <c r="V273" s="168"/>
      <c r="W273" s="168"/>
      <c r="X273" s="469"/>
      <c r="Y273" s="498"/>
    </row>
    <row r="274" spans="1:25" ht="15">
      <c r="A274" s="36" t="s">
        <v>546</v>
      </c>
      <c r="B274" s="30">
        <f t="shared" si="278"/>
        <v>269</v>
      </c>
      <c r="C274" s="8"/>
      <c r="D274" s="8" t="s">
        <v>547</v>
      </c>
      <c r="E274" s="130">
        <f>SUBTOTAL(9,E276:E278)</f>
        <v>60000</v>
      </c>
      <c r="F274" s="131">
        <f>SUBTOTAL(9,F276:F278)</f>
        <v>60000</v>
      </c>
      <c r="G274" s="156">
        <f>SUBTOTAL(9,G276:G278)</f>
        <v>0</v>
      </c>
      <c r="H274" s="156">
        <v>0</v>
      </c>
      <c r="I274" s="156">
        <f>SUBTOTAL(9,I276:I278)</f>
        <v>4611.32</v>
      </c>
      <c r="J274" s="156">
        <v>140000</v>
      </c>
      <c r="K274" s="156">
        <f t="shared" ref="K274:W274" si="307">SUBTOTAL(9,K276:K278)</f>
        <v>100000</v>
      </c>
      <c r="L274" s="156">
        <v>100000</v>
      </c>
      <c r="M274" s="156">
        <v>100000</v>
      </c>
      <c r="N274" s="156">
        <f>SUBTOTAL(9,N276:N278)</f>
        <v>0</v>
      </c>
      <c r="O274" s="170">
        <f t="shared" si="307"/>
        <v>0</v>
      </c>
      <c r="P274" s="170">
        <f t="shared" si="307"/>
        <v>0</v>
      </c>
      <c r="Q274" s="170">
        <f t="shared" si="307"/>
        <v>0</v>
      </c>
      <c r="R274" s="170">
        <f t="shared" si="307"/>
        <v>0</v>
      </c>
      <c r="S274" s="170">
        <f t="shared" si="307"/>
        <v>0</v>
      </c>
      <c r="T274" s="170">
        <f t="shared" si="307"/>
        <v>0</v>
      </c>
      <c r="U274" s="170">
        <f t="shared" si="307"/>
        <v>0</v>
      </c>
      <c r="V274" s="170">
        <f t="shared" si="307"/>
        <v>0</v>
      </c>
      <c r="W274" s="170">
        <f t="shared" si="307"/>
        <v>0</v>
      </c>
      <c r="X274" s="472">
        <v>0</v>
      </c>
      <c r="Y274" s="501">
        <v>0</v>
      </c>
    </row>
    <row r="275" spans="1:25" ht="15" outlineLevel="1">
      <c r="A275" s="45" t="s">
        <v>548</v>
      </c>
      <c r="B275" s="31">
        <f t="shared" si="278"/>
        <v>270</v>
      </c>
      <c r="C275" s="9"/>
      <c r="D275" s="9" t="s">
        <v>549</v>
      </c>
      <c r="E275" s="132">
        <f>SUBTOTAL(9,E276,E277,E278)</f>
        <v>60000</v>
      </c>
      <c r="F275" s="17">
        <f>SUBTOTAL(9,F276,F277,F278)</f>
        <v>60000</v>
      </c>
      <c r="G275" s="157">
        <f>SUBTOTAL(9,G276,G277,G278)</f>
        <v>0</v>
      </c>
      <c r="H275" s="157">
        <v>0</v>
      </c>
      <c r="I275" s="157">
        <f>SUBTOTAL(9,I276,I277,I278)</f>
        <v>4611.32</v>
      </c>
      <c r="J275" s="157">
        <v>140000</v>
      </c>
      <c r="K275" s="157">
        <v>100000</v>
      </c>
      <c r="L275" s="157">
        <v>100000</v>
      </c>
      <c r="M275" s="157">
        <v>100000</v>
      </c>
      <c r="N275" s="157">
        <f>SUBTOTAL(9,N276:N278)</f>
        <v>0</v>
      </c>
      <c r="O275" s="171">
        <f t="shared" ref="O275:W275" si="308">SUBTOTAL(9,O276,O277,O278)</f>
        <v>0</v>
      </c>
      <c r="P275" s="171">
        <f t="shared" si="308"/>
        <v>0</v>
      </c>
      <c r="Q275" s="171">
        <f t="shared" si="308"/>
        <v>0</v>
      </c>
      <c r="R275" s="171">
        <f t="shared" si="308"/>
        <v>0</v>
      </c>
      <c r="S275" s="171">
        <f t="shared" si="308"/>
        <v>0</v>
      </c>
      <c r="T275" s="171">
        <f t="shared" si="308"/>
        <v>0</v>
      </c>
      <c r="U275" s="171">
        <f t="shared" si="308"/>
        <v>0</v>
      </c>
      <c r="V275" s="171">
        <f t="shared" si="308"/>
        <v>0</v>
      </c>
      <c r="W275" s="171">
        <f t="shared" si="308"/>
        <v>0</v>
      </c>
      <c r="X275" s="473">
        <v>0</v>
      </c>
      <c r="Y275" s="502">
        <v>0</v>
      </c>
    </row>
    <row r="276" spans="1:25" ht="15" outlineLevel="1">
      <c r="A276" s="46" t="s">
        <v>550</v>
      </c>
      <c r="B276" s="32">
        <f t="shared" si="278"/>
        <v>271</v>
      </c>
      <c r="C276" s="10" t="s">
        <v>551</v>
      </c>
      <c r="D276" s="10" t="s">
        <v>552</v>
      </c>
      <c r="E276" s="133">
        <v>0</v>
      </c>
      <c r="F276" s="134">
        <v>0</v>
      </c>
      <c r="G276" s="158">
        <v>0</v>
      </c>
      <c r="H276" s="158">
        <v>0</v>
      </c>
      <c r="I276" s="158">
        <v>0</v>
      </c>
      <c r="J276" s="158">
        <v>0</v>
      </c>
      <c r="K276" s="158">
        <v>0</v>
      </c>
      <c r="L276" s="158">
        <v>0</v>
      </c>
      <c r="M276" s="158">
        <v>0</v>
      </c>
      <c r="N276" s="158">
        <v>0</v>
      </c>
      <c r="O276" s="172">
        <v>0</v>
      </c>
      <c r="P276" s="172">
        <v>0</v>
      </c>
      <c r="Q276" s="172">
        <v>0</v>
      </c>
      <c r="R276" s="172">
        <v>0</v>
      </c>
      <c r="S276" s="172">
        <v>0</v>
      </c>
      <c r="T276" s="172">
        <v>0</v>
      </c>
      <c r="U276" s="172">
        <v>0</v>
      </c>
      <c r="V276" s="172">
        <v>0</v>
      </c>
      <c r="W276" s="172">
        <v>0</v>
      </c>
      <c r="X276" s="474">
        <v>0</v>
      </c>
      <c r="Y276" s="503">
        <v>0</v>
      </c>
    </row>
    <row r="277" spans="1:25" ht="15" outlineLevel="1">
      <c r="A277" s="46" t="s">
        <v>553</v>
      </c>
      <c r="B277" s="32">
        <f t="shared" si="278"/>
        <v>272</v>
      </c>
      <c r="C277" s="10" t="s">
        <v>554</v>
      </c>
      <c r="D277" s="10" t="s">
        <v>555</v>
      </c>
      <c r="E277" s="133">
        <v>60000</v>
      </c>
      <c r="F277" s="134">
        <v>60000</v>
      </c>
      <c r="G277" s="158">
        <v>0</v>
      </c>
      <c r="H277" s="158">
        <v>0</v>
      </c>
      <c r="I277" s="158">
        <v>4611.32</v>
      </c>
      <c r="J277" s="158">
        <v>140000</v>
      </c>
      <c r="K277" s="158">
        <v>0</v>
      </c>
      <c r="L277" s="158">
        <v>0</v>
      </c>
      <c r="M277" s="158">
        <v>0</v>
      </c>
      <c r="N277" s="158">
        <v>0</v>
      </c>
      <c r="O277" s="172">
        <v>0</v>
      </c>
      <c r="P277" s="172">
        <v>0</v>
      </c>
      <c r="Q277" s="172">
        <v>0</v>
      </c>
      <c r="R277" s="172">
        <v>0</v>
      </c>
      <c r="S277" s="172">
        <v>0</v>
      </c>
      <c r="T277" s="172">
        <v>0</v>
      </c>
      <c r="U277" s="172">
        <v>0</v>
      </c>
      <c r="V277" s="172">
        <v>0</v>
      </c>
      <c r="W277" s="172">
        <v>0</v>
      </c>
      <c r="X277" s="474">
        <v>0</v>
      </c>
      <c r="Y277" s="503">
        <v>0</v>
      </c>
    </row>
    <row r="278" spans="1:25" ht="15" outlineLevel="1">
      <c r="A278" s="46" t="s">
        <v>556</v>
      </c>
      <c r="B278" s="32">
        <f>ROW(B273)</f>
        <v>273</v>
      </c>
      <c r="C278" s="10" t="s">
        <v>557</v>
      </c>
      <c r="D278" s="10" t="s">
        <v>558</v>
      </c>
      <c r="E278" s="136">
        <v>0</v>
      </c>
      <c r="F278" s="137">
        <v>0</v>
      </c>
      <c r="G278" s="159">
        <v>0</v>
      </c>
      <c r="H278" s="159">
        <v>0</v>
      </c>
      <c r="I278" s="159">
        <v>0</v>
      </c>
      <c r="J278" s="159">
        <v>0</v>
      </c>
      <c r="K278" s="159">
        <v>100000</v>
      </c>
      <c r="L278" s="159">
        <v>100000</v>
      </c>
      <c r="M278" s="159">
        <v>100000</v>
      </c>
      <c r="N278" s="159">
        <v>0</v>
      </c>
      <c r="O278" s="172">
        <v>0</v>
      </c>
      <c r="P278" s="172">
        <v>0</v>
      </c>
      <c r="Q278" s="172">
        <v>0</v>
      </c>
      <c r="R278" s="172">
        <v>0</v>
      </c>
      <c r="S278" s="172">
        <v>0</v>
      </c>
      <c r="T278" s="172">
        <v>0</v>
      </c>
      <c r="U278" s="172">
        <v>0</v>
      </c>
      <c r="V278" s="172">
        <v>0</v>
      </c>
      <c r="W278" s="172">
        <v>0</v>
      </c>
      <c r="X278" s="474">
        <v>0</v>
      </c>
      <c r="Y278" s="503">
        <v>0</v>
      </c>
    </row>
    <row r="279" spans="1:25" ht="15">
      <c r="B279" s="29">
        <f>ROW(B274)</f>
        <v>274</v>
      </c>
      <c r="H279" s="13"/>
      <c r="O279" s="13"/>
      <c r="P279" s="13"/>
      <c r="Q279" s="168"/>
      <c r="R279" s="168"/>
      <c r="S279" s="168"/>
      <c r="T279" s="168"/>
      <c r="U279" s="168"/>
      <c r="V279" s="168"/>
      <c r="W279" s="168"/>
      <c r="X279" s="469"/>
      <c r="Y279" s="498"/>
    </row>
    <row r="280" spans="1:25" ht="16.5" customHeight="1">
      <c r="B280" s="29">
        <f>ROW(B275)</f>
        <v>275</v>
      </c>
      <c r="D280" s="36" t="s">
        <v>559</v>
      </c>
      <c r="E280" s="143">
        <f>SUM(E78,E116,E250,E269,E274)</f>
        <v>1479844.02</v>
      </c>
      <c r="F280" s="144">
        <f>SUM(F78,F116,F250,F269,F274)</f>
        <v>1215421.75</v>
      </c>
      <c r="G280" s="162">
        <f>SUM(G78,G116,G250,G269,G274)</f>
        <v>1568977.28</v>
      </c>
      <c r="H280" s="162">
        <v>744412.76</v>
      </c>
      <c r="I280" s="162">
        <f>SUM(I78,I116,I250,I269,I274)</f>
        <v>1582227.32</v>
      </c>
      <c r="J280" s="162">
        <v>1016679.65</v>
      </c>
      <c r="K280" s="162">
        <f t="shared" ref="K280:W280" si="309">SUM(K78,K116,K250,K269,K274)</f>
        <v>1622000</v>
      </c>
      <c r="L280" s="162">
        <v>848745.34</v>
      </c>
      <c r="M280" s="162">
        <v>1622000</v>
      </c>
      <c r="N280" s="162">
        <f>SUM(N78,N116,N250,N269,N274)</f>
        <v>1161500.31</v>
      </c>
      <c r="O280" s="427">
        <f>SUM(O78,O116,O250,O269,O274)</f>
        <v>69137.42</v>
      </c>
      <c r="P280" s="40">
        <f t="shared" si="309"/>
        <v>145933.73000000001</v>
      </c>
      <c r="Q280" s="176">
        <f t="shared" si="309"/>
        <v>212202.34</v>
      </c>
      <c r="R280" s="176">
        <f t="shared" si="309"/>
        <v>268515.64999999997</v>
      </c>
      <c r="S280" s="176">
        <f t="shared" si="309"/>
        <v>357994.58</v>
      </c>
      <c r="T280" s="176">
        <f t="shared" si="309"/>
        <v>417617.75</v>
      </c>
      <c r="U280" s="176">
        <f t="shared" si="309"/>
        <v>477695.07</v>
      </c>
      <c r="V280" s="176">
        <f t="shared" si="309"/>
        <v>532478.52</v>
      </c>
      <c r="W280" s="176">
        <f t="shared" si="309"/>
        <v>585465.65</v>
      </c>
      <c r="X280" s="480">
        <v>620551.41</v>
      </c>
      <c r="Y280" s="509">
        <v>736561.79</v>
      </c>
    </row>
    <row r="281" spans="1:25" ht="14.25" customHeight="1">
      <c r="B281" s="29">
        <f>ROW(B276)</f>
        <v>276</v>
      </c>
      <c r="D281" s="37" t="s">
        <v>136</v>
      </c>
      <c r="E281" s="145">
        <f>SUBTOTAL(9,E6,E36,E60)</f>
        <v>1480000</v>
      </c>
      <c r="F281" s="39">
        <f>SUBTOTAL(9,F6,F36,F60)</f>
        <v>1500919.53</v>
      </c>
      <c r="G281" s="163">
        <f>SUBTOTAL(9,G6,G36,G60)</f>
        <v>1568977.28</v>
      </c>
      <c r="H281" s="149">
        <f>H74</f>
        <v>1433893.8299999998</v>
      </c>
      <c r="I281" s="163">
        <f>SUBTOTAL(9,I6,I36,I60)</f>
        <v>1582227.3199999998</v>
      </c>
      <c r="J281" s="163">
        <v>1824464.79</v>
      </c>
      <c r="K281" s="163">
        <f>SUBTOTAL(9,K6,K36,K60)</f>
        <v>2129600</v>
      </c>
      <c r="L281" s="163">
        <v>1431391.26</v>
      </c>
      <c r="M281" s="163">
        <v>2129600</v>
      </c>
      <c r="N281" s="163">
        <f>N74</f>
        <v>875991.44000000006</v>
      </c>
      <c r="O281" s="165">
        <f t="shared" ref="O281:W281" si="310">O74</f>
        <v>586782.02</v>
      </c>
      <c r="P281" s="273">
        <f t="shared" si="310"/>
        <v>591128.84000000008</v>
      </c>
      <c r="Q281" s="276">
        <f t="shared" si="310"/>
        <v>591710.4800000001</v>
      </c>
      <c r="R281" s="276">
        <f t="shared" si="310"/>
        <v>609273.37</v>
      </c>
      <c r="S281" s="276">
        <f t="shared" si="310"/>
        <v>624398.96000000008</v>
      </c>
      <c r="T281" s="276">
        <f t="shared" si="310"/>
        <v>628716.93000000005</v>
      </c>
      <c r="U281" s="276">
        <f t="shared" si="310"/>
        <v>629481.93000000005</v>
      </c>
      <c r="V281" s="276">
        <f t="shared" si="310"/>
        <v>631491.93000000005</v>
      </c>
      <c r="W281" s="276">
        <f t="shared" si="310"/>
        <v>631229.78</v>
      </c>
      <c r="X281" s="481">
        <v>641752.57999999996</v>
      </c>
      <c r="Y281" s="510">
        <v>666820.66</v>
      </c>
    </row>
    <row r="282" spans="1:25" ht="15.75">
      <c r="B282" s="29">
        <f>ROW(B277)</f>
        <v>277</v>
      </c>
      <c r="D282" s="38" t="s">
        <v>560</v>
      </c>
      <c r="E282" s="146">
        <f t="shared" ref="E282:H282" si="311">E281-E280</f>
        <v>155.97999999998137</v>
      </c>
      <c r="F282" s="147">
        <f t="shared" si="311"/>
        <v>285497.78000000003</v>
      </c>
      <c r="G282" s="164">
        <f t="shared" si="311"/>
        <v>0</v>
      </c>
      <c r="H282" s="164">
        <f t="shared" si="311"/>
        <v>689481.06999999983</v>
      </c>
      <c r="I282" s="164">
        <f t="shared" ref="I282:K282" si="312">I281-I280</f>
        <v>0</v>
      </c>
      <c r="J282" s="164">
        <v>807785.14</v>
      </c>
      <c r="K282" s="164">
        <f t="shared" si="312"/>
        <v>507600</v>
      </c>
      <c r="L282" s="164">
        <v>582645.92000000004</v>
      </c>
      <c r="M282" s="164">
        <v>507600</v>
      </c>
      <c r="N282" s="164">
        <f>N281-N280</f>
        <v>-285508.87</v>
      </c>
      <c r="O282" s="346">
        <f>O281-O280</f>
        <v>517644.60000000003</v>
      </c>
      <c r="P282" s="274">
        <f t="shared" ref="P282" si="313">P281-P280</f>
        <v>445195.1100000001</v>
      </c>
      <c r="Q282" s="277">
        <f t="shared" ref="Q282" si="314">Q281-Q280</f>
        <v>379508.14000000013</v>
      </c>
      <c r="R282" s="277">
        <f t="shared" ref="R282:T282" si="315">R281-R280</f>
        <v>340757.72000000003</v>
      </c>
      <c r="S282" s="277">
        <f t="shared" si="315"/>
        <v>266404.38000000006</v>
      </c>
      <c r="T282" s="277">
        <f t="shared" si="315"/>
        <v>211099.18000000005</v>
      </c>
      <c r="U282" s="277">
        <f t="shared" ref="U282" si="316">U281-U280</f>
        <v>151786.86000000004</v>
      </c>
      <c r="V282" s="277">
        <f t="shared" ref="V282:W282" si="317">V281-V280</f>
        <v>99013.410000000033</v>
      </c>
      <c r="W282" s="277">
        <f t="shared" si="317"/>
        <v>45764.130000000005</v>
      </c>
      <c r="X282" s="482">
        <v>21201.17</v>
      </c>
      <c r="Y282" s="511">
        <v>-69741.13</v>
      </c>
    </row>
    <row r="283" spans="1:25" ht="15">
      <c r="X283" s="463"/>
      <c r="Y283" s="512"/>
    </row>
    <row r="284" spans="1:25" ht="15">
      <c r="E284" s="13">
        <v>1479844.02</v>
      </c>
      <c r="X284" s="463"/>
    </row>
    <row r="285" spans="1:25" ht="15">
      <c r="E285" s="54">
        <f>E280-E284</f>
        <v>0</v>
      </c>
      <c r="X285" s="463"/>
    </row>
    <row r="286" spans="1:25">
      <c r="X286" s="463"/>
    </row>
    <row r="287" spans="1:25">
      <c r="D287" s="56"/>
      <c r="R287" s="13"/>
      <c r="X287" s="463"/>
    </row>
    <row r="288" spans="1:25">
      <c r="D288" s="56" t="s">
        <v>561</v>
      </c>
      <c r="E288" s="116" t="s">
        <v>562</v>
      </c>
      <c r="F288" s="116" t="s">
        <v>563</v>
      </c>
      <c r="H288" s="13"/>
      <c r="X288" s="463"/>
    </row>
    <row r="289" spans="4:25" ht="15">
      <c r="D289" s="57" t="s">
        <v>564</v>
      </c>
      <c r="E289" s="13">
        <v>180155.98</v>
      </c>
      <c r="F289" s="13">
        <v>465497.78</v>
      </c>
      <c r="H289" s="13">
        <v>869481.07</v>
      </c>
      <c r="J289" s="13">
        <v>1127785.1399999999</v>
      </c>
      <c r="K289" s="13">
        <v>927600</v>
      </c>
      <c r="L289" s="13">
        <v>1002645.92</v>
      </c>
      <c r="M289" s="13">
        <v>927600</v>
      </c>
      <c r="N289" s="13">
        <v>380764.13</v>
      </c>
      <c r="O289" s="13">
        <v>937644.6</v>
      </c>
      <c r="P289" s="13">
        <v>860195.11</v>
      </c>
      <c r="Q289" s="13">
        <v>789508.14</v>
      </c>
      <c r="R289" s="13">
        <v>675757.72</v>
      </c>
      <c r="S289" s="13">
        <v>601404.38</v>
      </c>
      <c r="T289" s="13">
        <v>546099.18000000005</v>
      </c>
      <c r="U289" s="294">
        <v>486786.86</v>
      </c>
      <c r="V289" s="294">
        <v>435546.19</v>
      </c>
      <c r="W289" s="294">
        <v>380764.13</v>
      </c>
      <c r="X289" s="483">
        <v>341646.34</v>
      </c>
      <c r="Y289" s="513">
        <v>265258.87</v>
      </c>
    </row>
    <row r="290" spans="4:25" ht="15">
      <c r="D290" s="57" t="s">
        <v>565</v>
      </c>
      <c r="E290" s="13">
        <v>0</v>
      </c>
      <c r="F290" s="13">
        <v>0</v>
      </c>
      <c r="H290" s="13">
        <v>0</v>
      </c>
      <c r="J290" s="13">
        <v>0</v>
      </c>
      <c r="K290" s="13">
        <v>0</v>
      </c>
      <c r="L290" s="13">
        <v>0</v>
      </c>
      <c r="M290" s="13">
        <v>0</v>
      </c>
      <c r="N290" s="13">
        <v>0</v>
      </c>
      <c r="O290" s="13">
        <v>0</v>
      </c>
      <c r="P290" s="13">
        <v>0</v>
      </c>
      <c r="Q290" s="13">
        <v>0</v>
      </c>
      <c r="R290" s="13">
        <v>0</v>
      </c>
      <c r="S290" s="13">
        <v>0</v>
      </c>
      <c r="T290" s="13">
        <v>0</v>
      </c>
      <c r="U290" s="13">
        <v>0</v>
      </c>
      <c r="V290" s="13">
        <v>0</v>
      </c>
      <c r="W290" s="13">
        <v>0</v>
      </c>
      <c r="X290" s="484">
        <v>0</v>
      </c>
      <c r="Y290" s="514">
        <v>0</v>
      </c>
    </row>
    <row r="291" spans="4:25" ht="15">
      <c r="D291" s="57" t="s">
        <v>566</v>
      </c>
      <c r="E291" s="13">
        <v>0</v>
      </c>
      <c r="F291" s="13">
        <v>0</v>
      </c>
      <c r="H291" s="13">
        <v>0</v>
      </c>
      <c r="J291" s="13">
        <v>0</v>
      </c>
      <c r="K291" s="13">
        <v>0</v>
      </c>
      <c r="L291" s="13">
        <v>0</v>
      </c>
      <c r="M291" s="13">
        <v>0</v>
      </c>
      <c r="N291" s="13">
        <v>0</v>
      </c>
      <c r="O291" s="13">
        <v>0</v>
      </c>
      <c r="P291" s="13">
        <v>0</v>
      </c>
      <c r="Q291" s="13">
        <v>0</v>
      </c>
      <c r="R291" s="13">
        <v>0</v>
      </c>
      <c r="S291" s="13">
        <v>0</v>
      </c>
      <c r="T291" s="13">
        <v>0</v>
      </c>
      <c r="U291" s="13">
        <v>0</v>
      </c>
      <c r="V291" s="13">
        <v>0</v>
      </c>
      <c r="W291" s="13">
        <v>0</v>
      </c>
      <c r="X291" s="484">
        <v>0</v>
      </c>
      <c r="Y291" s="514">
        <v>0</v>
      </c>
    </row>
    <row r="292" spans="4:25" ht="15">
      <c r="D292" s="56"/>
      <c r="H292" s="13"/>
      <c r="O292" s="13"/>
      <c r="P292" s="13"/>
      <c r="Q292" s="13"/>
      <c r="R292" s="13"/>
      <c r="S292" s="13"/>
      <c r="T292" s="13"/>
      <c r="U292" s="13"/>
      <c r="V292" s="13"/>
      <c r="W292" s="13"/>
      <c r="X292" s="463"/>
      <c r="Y292" s="512"/>
    </row>
    <row r="293" spans="4:25" ht="15">
      <c r="D293" s="56" t="s">
        <v>567</v>
      </c>
      <c r="E293" s="13">
        <f>SUM(E289:E292)</f>
        <v>180155.98</v>
      </c>
      <c r="F293" s="13">
        <f>SUM(F289:F292)</f>
        <v>465497.78</v>
      </c>
      <c r="H293" s="13">
        <f t="shared" ref="H293" si="318">SUM(H289:H292)</f>
        <v>869481.07</v>
      </c>
      <c r="J293" s="13">
        <v>1127785.1399999999</v>
      </c>
      <c r="K293" s="13">
        <f>SUM(K289:K292)</f>
        <v>927600</v>
      </c>
      <c r="L293" s="13">
        <v>1002645.92</v>
      </c>
      <c r="M293" s="13">
        <v>927600</v>
      </c>
      <c r="N293" s="13">
        <v>380764.13</v>
      </c>
      <c r="O293" s="13">
        <f t="shared" ref="O293" si="319">SUM(O289:O292)</f>
        <v>937644.6</v>
      </c>
      <c r="P293" s="13">
        <f t="shared" ref="P293:Q293" si="320">SUM(P289:P292)</f>
        <v>860195.11</v>
      </c>
      <c r="Q293" s="13">
        <f t="shared" si="320"/>
        <v>789508.14</v>
      </c>
      <c r="R293" s="13">
        <f t="shared" ref="R293:T293" si="321">SUM(R289:R292)</f>
        <v>675757.72</v>
      </c>
      <c r="S293" s="13">
        <f t="shared" si="321"/>
        <v>601404.38</v>
      </c>
      <c r="T293" s="13">
        <f t="shared" si="321"/>
        <v>546099.18000000005</v>
      </c>
      <c r="U293" s="294">
        <f t="shared" ref="U293:V293" si="322">SUM(U289:U292)</f>
        <v>486786.86</v>
      </c>
      <c r="V293" s="294">
        <f t="shared" si="322"/>
        <v>435546.19</v>
      </c>
      <c r="W293" s="294">
        <f t="shared" ref="W293" si="323">SUM(W289:W292)</f>
        <v>380764.13</v>
      </c>
      <c r="X293" s="483">
        <v>341646.34</v>
      </c>
      <c r="Y293" s="513">
        <v>265258.87</v>
      </c>
    </row>
    <row r="294" spans="4:25">
      <c r="D294" s="56"/>
      <c r="H294" s="13"/>
      <c r="O294" s="13"/>
      <c r="P294" s="13"/>
      <c r="Q294" s="13"/>
      <c r="R294" s="13"/>
      <c r="S294" s="13"/>
      <c r="T294" s="13"/>
      <c r="U294" s="13"/>
      <c r="V294" s="13"/>
      <c r="W294" s="13"/>
      <c r="X294" s="463"/>
    </row>
    <row r="295" spans="4:25">
      <c r="D295" s="56" t="s">
        <v>568</v>
      </c>
      <c r="H295" s="13"/>
      <c r="O295" s="13"/>
      <c r="P295" s="13"/>
      <c r="Q295" s="13"/>
      <c r="R295" s="13"/>
      <c r="S295" s="13"/>
      <c r="T295" s="13"/>
      <c r="U295" s="13"/>
      <c r="V295" s="13"/>
      <c r="W295" s="13"/>
      <c r="X295" s="463"/>
    </row>
    <row r="296" spans="4:25">
      <c r="D296" s="56"/>
      <c r="H296" s="13"/>
      <c r="O296" s="13"/>
      <c r="P296" s="13"/>
      <c r="Q296" s="13"/>
      <c r="R296" s="13"/>
      <c r="S296" s="13"/>
      <c r="T296" s="13"/>
      <c r="U296" s="13"/>
      <c r="V296" s="13"/>
      <c r="W296" s="13"/>
      <c r="X296" s="463"/>
    </row>
    <row r="297" spans="4:25" ht="15">
      <c r="D297" s="58" t="s">
        <v>569</v>
      </c>
      <c r="E297" s="13">
        <v>155.97999999999999</v>
      </c>
      <c r="F297" s="13">
        <f>F282</f>
        <v>285497.78000000003</v>
      </c>
      <c r="H297" s="13">
        <f t="shared" ref="H297" si="324">H282</f>
        <v>689481.06999999983</v>
      </c>
      <c r="J297" s="13">
        <v>807785.14</v>
      </c>
      <c r="K297" s="13">
        <v>507600</v>
      </c>
      <c r="L297" s="13">
        <v>582645.92000000004</v>
      </c>
      <c r="M297" s="13">
        <v>507600</v>
      </c>
      <c r="N297" s="13">
        <v>0</v>
      </c>
      <c r="O297" s="13">
        <f>O282</f>
        <v>517644.60000000003</v>
      </c>
      <c r="P297" s="13">
        <f t="shared" ref="P297:Q297" si="325">P282</f>
        <v>445195.1100000001</v>
      </c>
      <c r="Q297" s="13">
        <f t="shared" si="325"/>
        <v>379508.14000000013</v>
      </c>
      <c r="R297" s="13">
        <f t="shared" ref="R297:T297" si="326">R282</f>
        <v>340757.72000000003</v>
      </c>
      <c r="S297" s="13">
        <f t="shared" si="326"/>
        <v>266404.38000000006</v>
      </c>
      <c r="T297" s="13">
        <f t="shared" si="326"/>
        <v>211099.18000000005</v>
      </c>
      <c r="U297" s="13">
        <f t="shared" ref="U297:V297" si="327">U282</f>
        <v>151786.86000000004</v>
      </c>
      <c r="V297" s="13">
        <f t="shared" si="327"/>
        <v>99013.410000000033</v>
      </c>
      <c r="W297" s="13">
        <f t="shared" ref="W297" si="328">W282</f>
        <v>45764.130000000005</v>
      </c>
      <c r="X297" s="484">
        <v>21201.17</v>
      </c>
      <c r="Y297" s="513">
        <v>-69741.13</v>
      </c>
    </row>
    <row r="298" spans="4:25" ht="15">
      <c r="D298" s="57" t="s">
        <v>570</v>
      </c>
      <c r="E298" s="13">
        <v>115000</v>
      </c>
      <c r="F298" s="13">
        <v>115000</v>
      </c>
      <c r="H298" s="13">
        <v>115000</v>
      </c>
      <c r="J298" s="13">
        <v>115000</v>
      </c>
      <c r="K298" s="13">
        <v>120000</v>
      </c>
      <c r="L298" s="13">
        <v>120000</v>
      </c>
      <c r="M298" s="13">
        <v>120000</v>
      </c>
      <c r="N298" s="13">
        <v>60000</v>
      </c>
      <c r="O298" s="13">
        <v>120000</v>
      </c>
      <c r="P298" s="13">
        <v>120000</v>
      </c>
      <c r="Q298" s="13">
        <v>120000</v>
      </c>
      <c r="R298" s="13">
        <v>120000</v>
      </c>
      <c r="S298" s="13">
        <v>120000</v>
      </c>
      <c r="T298" s="13">
        <v>120000</v>
      </c>
      <c r="U298" s="13">
        <v>120000</v>
      </c>
      <c r="V298" s="13">
        <v>120000</v>
      </c>
      <c r="W298" s="13">
        <v>120000</v>
      </c>
      <c r="X298" s="484">
        <v>120000</v>
      </c>
      <c r="Y298" s="514">
        <v>120000</v>
      </c>
    </row>
    <row r="299" spans="4:25" ht="15">
      <c r="D299" s="57" t="s">
        <v>571</v>
      </c>
      <c r="E299" s="13">
        <v>5000</v>
      </c>
      <c r="F299" s="13">
        <v>5000</v>
      </c>
      <c r="H299" s="13">
        <v>5000</v>
      </c>
      <c r="J299" s="13">
        <v>5000</v>
      </c>
      <c r="K299" s="13">
        <v>0</v>
      </c>
      <c r="L299" s="13">
        <v>0</v>
      </c>
      <c r="M299" s="13">
        <v>0</v>
      </c>
      <c r="N299" s="13">
        <v>0</v>
      </c>
      <c r="O299" s="13">
        <v>0</v>
      </c>
      <c r="P299" s="13">
        <v>0</v>
      </c>
      <c r="Q299" s="13">
        <v>0</v>
      </c>
      <c r="R299" s="13">
        <v>0</v>
      </c>
      <c r="S299" s="13">
        <v>0</v>
      </c>
      <c r="T299" s="13">
        <v>0</v>
      </c>
      <c r="U299" s="13">
        <v>0</v>
      </c>
      <c r="V299" s="13">
        <v>0</v>
      </c>
      <c r="W299" s="13">
        <v>0</v>
      </c>
      <c r="X299" s="484">
        <v>0</v>
      </c>
      <c r="Y299" s="514">
        <v>0</v>
      </c>
    </row>
    <row r="300" spans="4:25" ht="15">
      <c r="D300" s="57" t="s">
        <v>572</v>
      </c>
      <c r="E300" s="13">
        <v>0</v>
      </c>
      <c r="F300" s="13">
        <v>60000</v>
      </c>
      <c r="H300" s="13">
        <v>60000</v>
      </c>
      <c r="J300" s="13">
        <v>200000</v>
      </c>
      <c r="K300" s="13">
        <v>100000</v>
      </c>
      <c r="L300" s="13">
        <v>200000</v>
      </c>
      <c r="M300" s="13">
        <v>100000</v>
      </c>
      <c r="N300" s="13">
        <v>70000</v>
      </c>
      <c r="O300" s="13">
        <v>200000</v>
      </c>
      <c r="P300" s="13">
        <v>200000</v>
      </c>
      <c r="Q300" s="13">
        <v>200000</v>
      </c>
      <c r="R300" s="13">
        <v>200000</v>
      </c>
      <c r="S300" s="13">
        <v>200000</v>
      </c>
      <c r="T300" s="13">
        <v>200000</v>
      </c>
      <c r="U300" s="13">
        <v>200000</v>
      </c>
      <c r="V300" s="13">
        <v>200000</v>
      </c>
      <c r="W300" s="13">
        <v>200000</v>
      </c>
      <c r="X300" s="484">
        <v>200000</v>
      </c>
      <c r="Y300" s="514">
        <v>200000</v>
      </c>
    </row>
    <row r="301" spans="4:25" ht="15">
      <c r="D301" s="57" t="s">
        <v>573</v>
      </c>
      <c r="E301" s="13">
        <v>60000</v>
      </c>
      <c r="F301" s="13">
        <v>0</v>
      </c>
      <c r="H301" s="13">
        <v>0</v>
      </c>
      <c r="J301" s="13">
        <v>0</v>
      </c>
      <c r="K301" s="13">
        <v>200000</v>
      </c>
      <c r="L301" s="13">
        <v>100000</v>
      </c>
      <c r="M301" s="13">
        <v>200000</v>
      </c>
      <c r="N301" s="13">
        <v>0</v>
      </c>
      <c r="O301" s="13">
        <v>100000</v>
      </c>
      <c r="P301" s="421">
        <v>95000</v>
      </c>
      <c r="Q301" s="421">
        <v>90000</v>
      </c>
      <c r="R301" s="421">
        <v>15000</v>
      </c>
      <c r="S301" s="421">
        <v>15000</v>
      </c>
      <c r="T301" s="421">
        <v>15000</v>
      </c>
      <c r="U301" s="421">
        <v>15000</v>
      </c>
      <c r="V301" s="421">
        <v>15000</v>
      </c>
      <c r="W301" s="421">
        <v>15000</v>
      </c>
      <c r="X301" s="485">
        <v>15000</v>
      </c>
      <c r="Y301" s="515">
        <v>15000</v>
      </c>
    </row>
    <row r="302" spans="4:25" ht="15">
      <c r="D302" s="56" t="s">
        <v>574</v>
      </c>
      <c r="E302" s="13">
        <f>SUM(E297:E301)</f>
        <v>180155.97999999998</v>
      </c>
      <c r="F302" s="13">
        <f>SUM(F297:F301)</f>
        <v>465497.78</v>
      </c>
      <c r="H302" s="13">
        <f t="shared" ref="H302" si="329">SUM(H297:H301)</f>
        <v>869481.06999999983</v>
      </c>
      <c r="J302" s="13">
        <v>1127785.1400000001</v>
      </c>
      <c r="K302" s="13">
        <f>SUM(K297:K301)</f>
        <v>927600</v>
      </c>
      <c r="L302" s="13">
        <v>1002645.92</v>
      </c>
      <c r="M302" s="13">
        <v>927600</v>
      </c>
      <c r="N302" s="13">
        <f>N297+N298+N299+N300+N301</f>
        <v>130000</v>
      </c>
      <c r="O302" s="13">
        <f>O297+O298+O299+O300+O301</f>
        <v>937644.60000000009</v>
      </c>
      <c r="P302" s="13">
        <f t="shared" ref="P302" si="330">SUM(P297:P301)</f>
        <v>860195.1100000001</v>
      </c>
      <c r="Q302" s="13">
        <f t="shared" ref="Q302:W302" si="331">SUM(Q297:Q301)</f>
        <v>789508.14000000013</v>
      </c>
      <c r="R302" s="13">
        <f t="shared" si="331"/>
        <v>675757.72</v>
      </c>
      <c r="S302" s="13">
        <f t="shared" si="331"/>
        <v>601404.38000000012</v>
      </c>
      <c r="T302" s="13">
        <f t="shared" si="331"/>
        <v>546099.18000000005</v>
      </c>
      <c r="U302" s="444">
        <f t="shared" si="331"/>
        <v>486786.86000000004</v>
      </c>
      <c r="V302" s="443">
        <f t="shared" si="331"/>
        <v>434013.41000000003</v>
      </c>
      <c r="W302" s="294">
        <f t="shared" si="331"/>
        <v>380764.13</v>
      </c>
      <c r="X302" s="487">
        <v>356201.17</v>
      </c>
      <c r="Y302" s="513">
        <v>265258.87</v>
      </c>
    </row>
    <row r="303" spans="4:25">
      <c r="D303" s="57"/>
      <c r="O303" s="13"/>
      <c r="P303" s="13"/>
      <c r="Q303" s="376"/>
      <c r="R303" s="375"/>
      <c r="S303" s="375"/>
      <c r="T303" s="445"/>
      <c r="U303" s="21" t="s">
        <v>575</v>
      </c>
      <c r="V303" s="441">
        <v>1532.78</v>
      </c>
      <c r="W303" s="294"/>
      <c r="X303" s="488">
        <v>-14514.83</v>
      </c>
    </row>
    <row r="304" spans="4:25">
      <c r="D304" s="56" t="s">
        <v>576</v>
      </c>
      <c r="O304" s="13"/>
      <c r="P304" s="13"/>
      <c r="Q304" s="13"/>
      <c r="R304" s="375"/>
      <c r="S304" s="375"/>
      <c r="T304" s="445"/>
      <c r="U304" s="21"/>
      <c r="V304" s="441"/>
      <c r="W304" s="13"/>
      <c r="X304" s="488">
        <v>-40</v>
      </c>
    </row>
    <row r="305" spans="4:24">
      <c r="D305" s="56"/>
      <c r="K305" s="378"/>
      <c r="L305" s="378"/>
      <c r="M305" s="378"/>
      <c r="N305" s="378"/>
      <c r="O305" s="13"/>
      <c r="P305" s="13"/>
      <c r="R305" s="375"/>
      <c r="S305" s="375"/>
      <c r="T305" s="445"/>
      <c r="U305" s="446"/>
      <c r="V305" s="442">
        <f>SUM(V302:V304)</f>
        <v>435546.19000000006</v>
      </c>
      <c r="W305" s="294">
        <f>SUM(W302:W304)</f>
        <v>380764.13</v>
      </c>
      <c r="X305" s="488">
        <v>341646.34</v>
      </c>
    </row>
    <row r="306" spans="4:24">
      <c r="D306" s="57" t="s">
        <v>561</v>
      </c>
      <c r="E306" s="13">
        <v>180155.98</v>
      </c>
      <c r="K306" s="378"/>
      <c r="L306" s="378"/>
      <c r="M306" s="378"/>
      <c r="N306" s="378"/>
      <c r="P306" s="13"/>
      <c r="R306" s="13"/>
      <c r="U306" s="258"/>
      <c r="V306" s="13"/>
      <c r="X306" s="486"/>
    </row>
    <row r="307" spans="4:24" ht="28.9">
      <c r="D307" s="59" t="s">
        <v>577</v>
      </c>
      <c r="E307" s="13">
        <f>1120000*0.05</f>
        <v>56000</v>
      </c>
      <c r="O307" s="13"/>
      <c r="P307" s="13"/>
      <c r="S307" s="116"/>
      <c r="U307" s="13"/>
      <c r="X307" s="463"/>
    </row>
    <row r="308" spans="4:24">
      <c r="D308" s="57" t="s">
        <v>578</v>
      </c>
      <c r="E308" s="13">
        <f>E306-E307</f>
        <v>124155.98000000001</v>
      </c>
      <c r="P308" s="13"/>
      <c r="X308" s="463"/>
    </row>
    <row r="309" spans="4:24" ht="43.15">
      <c r="D309" s="60" t="s">
        <v>579</v>
      </c>
      <c r="E309" s="13">
        <f>1120000*0.18</f>
        <v>201600</v>
      </c>
      <c r="O309" s="13"/>
      <c r="P309" s="13"/>
      <c r="X309" s="463"/>
    </row>
    <row r="310" spans="4:24">
      <c r="D310" s="57" t="s">
        <v>580</v>
      </c>
      <c r="E310" s="13">
        <f>E308-E309</f>
        <v>-77444.01999999999</v>
      </c>
      <c r="X310" s="463"/>
    </row>
    <row r="311" spans="4:24">
      <c r="D311" s="61"/>
      <c r="X311" s="463"/>
    </row>
  </sheetData>
  <phoneticPr fontId="48" type="noConversion"/>
  <hyperlinks>
    <hyperlink ref="D175" location="Referatspläne!B2" display="Honorare Dozierende Fachseminare" xr:uid="{60C89834-EDFE-4FF0-8C32-D7E298D047F7}"/>
    <hyperlink ref="D178" location="Referatspläne!G2" display="Bewirtung und Repräsentation" xr:uid="{EFDC5AA8-C4B8-425B-AE77-5704BFCB5249}"/>
    <hyperlink ref="D177" location="Referatspläne!E2" display="Externe Reisekosten" xr:uid="{E7960A0F-F28B-4062-A4DD-D29D8031EDFF}"/>
    <hyperlink ref="D179" location="Referatspläne!I2" display="Raum und Unterkunftskosten" xr:uid="{FCD1F649-71F0-4FE2-95D2-15F2AECAE008}"/>
    <hyperlink ref="D103" location="Stellenplan!D22" display="Gehälter Beschäftigte" xr:uid="{09A0ECEE-EECC-4F42-920C-51F475E575EE}"/>
    <hyperlink ref="D104" location="Stellenplan!D23" display="Steuern" xr:uid="{DF5B2CF9-A7BC-4432-BB17-19DDA55534BC}"/>
    <hyperlink ref="D105" location="Stellenplan!D24" display="AG-Anteil Sozialversicherung" xr:uid="{0728B21F-96A2-4F08-BA90-88E3B2DEFEFC}"/>
    <hyperlink ref="D106" location="Stellenplan!D25" display="Betriebsrenten" xr:uid="{ADB81F88-C5A3-47D0-8490-5123BB3E1D2D}"/>
    <hyperlink ref="D128" location="Neu_Allg." display="Neuanschaffungen allgemein" xr:uid="{F7C610C4-6BED-4A5C-9FD1-262372BB9640}"/>
    <hyperlink ref="D129" location="Neu_EDV_Tel." display="Neuanschaffungen EDV und Telekommunikation" xr:uid="{0E4BA721-9CC9-4FD3-8B78-BE10A72A5678}"/>
    <hyperlink ref="D130" location="Renov_Inst." display="Renovierungen und Instandhaltung" xr:uid="{018899EE-00FF-4748-B284-E99A424465E1}"/>
    <hyperlink ref="D97" location="Stellenplan!B6" display="Referate" xr:uid="{D9FDBC1B-404D-4B40-8B3D-F4F84C2BD2CA}"/>
    <hyperlink ref="D98" location="Stellenplan!C6" display="Bundesknappschaft" xr:uid="{1F49066E-0B87-460E-89E1-C1C142EED209}"/>
    <hyperlink ref="D149" location="WiWi!E13" display="WiWi" xr:uid="{610E8F0C-2465-4E16-A5B8-2DA51D9265EE}"/>
    <hyperlink ref="D150" location="KSW!E13" display="KSW" xr:uid="{74781687-4F05-404F-BD98-0110E41CA6C5}"/>
    <hyperlink ref="D151" location="PSY!E13" display="PSY" xr:uid="{76F316A6-6277-4F62-9C94-7349DEC8CEDB}"/>
    <hyperlink ref="D152" location="ReWi!E13" display="ReWi" xr:uid="{6BDA0504-9F0C-47AD-B307-1B6BEF1560AC}"/>
    <hyperlink ref="D153" location="M_I!E13" display="M+I" xr:uid="{2C8567C2-5ADB-4A1C-8076-DF030F18BEB3}"/>
    <hyperlink ref="D38" location="WiWi!E5" display="FSR WiWi" xr:uid="{752F1C43-8332-456B-8602-A9521C382BF1}"/>
    <hyperlink ref="D39" location="KSW!E5" display="FSR KSW" xr:uid="{BD482870-7F39-4CD7-919D-05B751C7AAE4}"/>
    <hyperlink ref="D40" location="PSY!E5" display="FSR PSY" xr:uid="{13767CE0-AD54-44D2-88D3-80858268F67C}"/>
    <hyperlink ref="D41" location="ReWi!E5" display="FSR ReWi" xr:uid="{554F11B2-3634-4089-B288-E578D4547109}"/>
    <hyperlink ref="D42" location="M_I!E5" display="FSR M+I" xr:uid="{C89CA102-DBB3-466C-9295-0982F129D281}"/>
    <hyperlink ref="D45" location="WiWi!E6" display="FSR WiWi" xr:uid="{E98EA4C2-D443-4A89-A809-7008C5F906B6}"/>
    <hyperlink ref="D46" location="KSW!E6" display="FSR KSW" xr:uid="{A7657E42-2514-4F53-8A66-BAD65D37CB75}"/>
    <hyperlink ref="D47" location="PSY!E6" display="FSR PSY" xr:uid="{3CE800AA-B62B-4205-B868-37F480EB322B}"/>
    <hyperlink ref="D48" location="ReWi!E6" display="FSR ReWi" xr:uid="{0E0BB2A6-B958-4755-9DEC-4825CA8D3DF2}"/>
    <hyperlink ref="D49" location="M_I!E6" display="FSR M+I" xr:uid="{5736255C-8E5E-4EE6-A220-6D59AD02680B}"/>
    <hyperlink ref="D89" location="WiWi!E11" display="Variable AE FSR WiWi" xr:uid="{FA06D82D-F005-402E-A824-CD5D757912C9}"/>
    <hyperlink ref="D90" location="KSW!E11" display="Variable AE FSR KSW" xr:uid="{6197137C-CC0F-4AA7-87A5-5FEB2A95B162}"/>
    <hyperlink ref="D91" location="PSY!E11" display="Variable AE FSR PSY" xr:uid="{5EE999BA-A4E2-44DB-A6BA-88D0A367DC0A}"/>
    <hyperlink ref="D92" location="ReWi!E11" display="Variable AE FSR ReWi" xr:uid="{B7B32023-7492-4831-BB42-899274DC4852}"/>
    <hyperlink ref="D93" location="M_I!E11" display="Variable AE FSR M+I" xr:uid="{C38EFDF2-B993-456D-9F10-4E7D31C0D5A8}"/>
    <hyperlink ref="D161" location="WiWi!E14" display="WiWi" xr:uid="{BB3F4E04-1F0C-4E01-AEF5-99D5752635D2}"/>
    <hyperlink ref="D162" location="KSW!E14" display="KSW" xr:uid="{B8E00508-A054-492E-A8EF-62DE425EC84E}"/>
    <hyperlink ref="D163" location="PSY!E14" display="PSY" xr:uid="{F5971167-0599-448B-8E35-F1ECCFE3C3C5}"/>
    <hyperlink ref="D164" location="ReWi!E14" display="ReWi" xr:uid="{06B1B99F-8A78-40D0-B78F-852EE7D005AE}"/>
    <hyperlink ref="D165" location="M_I!E14" display="M+I" xr:uid="{221CA278-9320-400D-BD32-EFAC4CD9C44E}"/>
    <hyperlink ref="D185" location="WiWi!E15" display="WiWi" xr:uid="{EA87DDA0-9F7C-4A4B-94AD-8C2D1F005B7B}"/>
    <hyperlink ref="D186" location="KSW!E15" display="KSW" xr:uid="{52DA0BFB-F802-4386-BD43-982D2B36824E}"/>
    <hyperlink ref="D187" location="PSY!E15" display="PSY" xr:uid="{5C7DE8F8-32D8-4C86-AF68-1F0C9DA803E2}"/>
    <hyperlink ref="D188" location="ReWi!E15" display="ReWi" xr:uid="{9BE82827-2262-48D7-9E56-607B83984DAE}"/>
    <hyperlink ref="D189" location="M_I!E15" display="M+I" xr:uid="{68F35050-8478-457F-A60C-C2B978EFB8F2}"/>
    <hyperlink ref="D191" location="WiWi!E16" display="WiWi" xr:uid="{5F695922-C19D-4ACF-8AF3-CF65E7C629CD}"/>
    <hyperlink ref="D192" location="KSW!E16" display="KSW" xr:uid="{B42FB216-ED40-4D65-82E7-117FC0F07064}"/>
    <hyperlink ref="D193" location="PSY!E16" display="PSY" xr:uid="{A9C14F2B-DB0E-407F-B7AF-19C704553DCF}"/>
    <hyperlink ref="D194" location="ReWi!E16" display="ReWi" xr:uid="{4850ACE6-A763-48BD-B06E-2E91EF3FFA86}"/>
    <hyperlink ref="D195" location="M_I!E16" display="M+I" xr:uid="{880BD258-D4C4-4D25-A2F4-E35E3520BAF4}"/>
    <hyperlink ref="D197" location="WiWi!E17" display="WiWi" xr:uid="{E1181EC7-48C9-447C-8603-86362F48B485}"/>
    <hyperlink ref="D198" location="KSW!E17" display="KSW" xr:uid="{D1CB981A-C930-4FD9-BE20-F96FEA8BC477}"/>
    <hyperlink ref="D199" location="PSY!E17" display="PSY" xr:uid="{4B80F00B-6DD4-4A65-8F6E-80DC432BFAA6}"/>
    <hyperlink ref="D200" location="ReWi!E17" display="ReWi" xr:uid="{B39DFC1B-BB96-4581-B951-C479EE3AD92D}"/>
    <hyperlink ref="D201" location="M_I!E17" display="M+I" xr:uid="{62E6D6B3-B3F1-4BC1-9B01-7B6013012283}"/>
    <hyperlink ref="D203" location="WiWi!E18" display="WiWi" xr:uid="{43E03246-F9C4-4382-86F0-BB96C2EB6C30}"/>
    <hyperlink ref="D204" location="KSW!E18" display="KSW" xr:uid="{2276ED7F-51C8-4251-BBBD-D766FA62D961}"/>
    <hyperlink ref="D205" location="PSY!E18" display="PSY" xr:uid="{1551D32F-D5EF-4CD5-9467-88D5AC2E5F33}"/>
    <hyperlink ref="D206" location="ReWi!E18" display="ReWi" xr:uid="{C714C297-2F72-4BED-8FA4-2AE1AE29F3D8}"/>
    <hyperlink ref="D207" location="M_I!E18" display="M+I" xr:uid="{D5CFEDFD-0CC6-4C84-8590-CD84C7BD4E82}"/>
    <hyperlink ref="D209" location="WiWi!E19" display="WiWi" xr:uid="{EE21FEB3-02D9-4C87-9E61-E8E4B0F99DBB}"/>
    <hyperlink ref="D210" location="KSW!E19" display="KSW" xr:uid="{A55DB11F-8FCF-48FD-8B63-423F84AFBDA6}"/>
    <hyperlink ref="D211" location="PSY!E19" display="PSY" xr:uid="{C52ED2CB-C1F4-401C-9E03-FDCAFBB0693C}"/>
    <hyperlink ref="D212" location="ReWi!E19" display="ReWi" xr:uid="{B72D5E1F-26F4-42B1-8B1F-47F21ACE65C7}"/>
    <hyperlink ref="D213" location="M_I!E19" display="M+I" xr:uid="{C7E0CCED-C985-48E3-89F0-3AD50EA0D0A0}"/>
    <hyperlink ref="D215" location="WiWi!E20" display="WiWi" xr:uid="{DE4D5F58-AAC8-4EF2-B502-571CA6245AB2}"/>
    <hyperlink ref="D216" location="KSW!E20" display="KSW" xr:uid="{B70DCE4E-4DEA-4C6B-9664-35D00159BACA}"/>
    <hyperlink ref="D217" location="PSY!E20" display="PSY" xr:uid="{1C5C1586-2DDB-46E0-99E3-12896E71C649}"/>
    <hyperlink ref="D218" location="ReWi!E20" display="ReWi" xr:uid="{C9C85351-44B2-4DAD-A0FA-6777AF6B91D2}"/>
    <hyperlink ref="D219" location="M_I!E20" display="M+I" xr:uid="{59395B96-8860-4439-9B33-484D658B595C}"/>
    <hyperlink ref="D221" location="WiWi!E21" display="WiWi" xr:uid="{FE58DD81-A18A-435C-8BC0-D100D641A4E2}"/>
    <hyperlink ref="D222" location="KSW!E21" display="KSW" xr:uid="{41F661CC-71D5-48C4-9E10-7B7E746E7E33}"/>
    <hyperlink ref="D223" location="PSY!E21" display="PSY" xr:uid="{31D9E825-DFC4-4E9D-85F4-95D79E4B59BB}"/>
    <hyperlink ref="D224" location="ReWi!E21" display="ReWi" xr:uid="{F82A673A-A6AF-4FDB-BD62-6987B6EFE407}"/>
    <hyperlink ref="D225" location="M_I!E21" display="M+I" xr:uid="{95350DB8-A1C1-4A30-A5A7-7BACA4436E14}"/>
    <hyperlink ref="D254" location="Referatspläne!B123" display="Honorare Lerngruppen" xr:uid="{C1A5DB40-20CD-494A-BF47-6F4A161F3178}"/>
    <hyperlink ref="D255" location="Referatspläne!B131" display="Honorare Veranstaltungen Campus" xr:uid="{DE761C70-479A-43F2-8130-591AF0BC4271}"/>
    <hyperlink ref="D180" location="Referatspläne!J2" display="Druckkosten" xr:uid="{543A19FD-45C2-451E-A9F6-986D55418DF0}"/>
    <hyperlink ref="D181" location="Referatspläne!K2" display="Sonstige Kosten" xr:uid="{6DDA9E04-59E4-4D9C-8647-A74C48333F91}"/>
    <hyperlink ref="D20" location="Referatspläne!O1" display="AStA-Veranstaltungen" xr:uid="{BF3ED468-1388-4C2D-B410-766C7B476CEE}"/>
    <hyperlink ref="D19" location="Referatspläne!N1" display="AStA Seminare" xr:uid="{F4465E8B-F2CB-4458-AA14-19546A06282D}"/>
    <hyperlink ref="D24" location="Referatspläne!P2" display="AStA" xr:uid="{8DFDE969-C8C3-4B0A-8576-A6F6A85B8320}"/>
    <hyperlink ref="D29" location="Referatspläne!Q1" display="Förderungen Hopo" xr:uid="{FB7884F0-F8F2-41F8-A259-38AB50759830}"/>
    <hyperlink ref="D28" location="Referatspläne!Q1" display="Förderungen Inkl. U. Gleichstellung" xr:uid="{77D7A61C-FDD8-4930-9444-9B3BB278644E}"/>
    <hyperlink ref="D30" location="Referatspläne!Q1" display="Sonstige Förderungen und Kooperationen" xr:uid="{F55C1040-67EE-4083-AFA2-F5924EEA4033}"/>
    <hyperlink ref="D52" location="WiWi!E7" display="FSR WiWi" xr:uid="{2A775649-8FB6-4AAE-8284-1A256C8DD068}"/>
    <hyperlink ref="D53" location="KSW!E7" display="FSR KSW" xr:uid="{7F4AD05B-B666-47E3-A31C-F21BDBA6B03C}"/>
    <hyperlink ref="D54" location="PSY!E7" display="FSR PSY" xr:uid="{66C35271-8C1E-46FC-9B19-2453212E00E3}"/>
    <hyperlink ref="D55" location="ReWi!E7" display="FSR ReWi" xr:uid="{6586B761-0500-43EA-9546-1889C510C1F5}"/>
    <hyperlink ref="D56" location="M_I!E7" display="FSR M+I" xr:uid="{CA64298E-049B-408B-B1E6-9F03EE0F5BD8}"/>
    <hyperlink ref="D137" location="WiWi!E12" display="FSR WiWi" xr:uid="{7479FF5E-0F71-49AC-AECA-5BDA04DACBA9}"/>
    <hyperlink ref="D138" location="KSW!E12" display="FSR KSW" xr:uid="{E45012FD-CE48-43BE-949E-738BC98099E6}"/>
    <hyperlink ref="D139" location="PSY!E12" display="FSR PSY" xr:uid="{E87FF617-00F3-44DF-92C7-5822B508061F}"/>
    <hyperlink ref="D140" location="ReWi!E12" display="FSR ReWi" xr:uid="{4D3F5783-7888-4AE7-9A34-2A746EADE0DE}"/>
    <hyperlink ref="D141" location="M_I!E12" display="FSR M+I" xr:uid="{0D90D3E8-FFC5-4CDA-A463-AD56B634E64D}"/>
    <hyperlink ref="D80" location="Aufwandsentschädigungen!C4" display="Fest-AE Stupa-Präsidium und Ausschussvorsitze" xr:uid="{1CC69F04-6072-486B-9400-EC12B427D19F}"/>
    <hyperlink ref="D81" location="Aufwandsentschädigungen!I14" display="Variable AE Stupa, Ausschüsse, Arbeitsgruppen" xr:uid="{D1D5A7A4-523B-418F-B9AD-5B3FB0B6018E}"/>
    <hyperlink ref="D229" location="'Leistungen Dritter'!D5" display="Lohnbuchführung" xr:uid="{EB1D158A-FCCF-4425-B51C-3ACC6112F124}"/>
    <hyperlink ref="D231" location="IT_Dienstl." display="IT-Dienstleistungen" xr:uid="{53C0C7E0-3873-40E8-8741-4A5A8A772AA6}"/>
    <hyperlink ref="D125" location="IT_Mieten_Ges." display="IT-Mieten" xr:uid="{35523644-37B9-4DD2-90EE-82F4A2AF5AED}"/>
    <hyperlink ref="D123" location="Lizenzen_Ges." display="Lizenzen_Ges." xr:uid="{F684373A-DA4F-4FD2-9CE5-F26D8AB61912}"/>
    <hyperlink ref="D135" location="Referatspläne!D2" display="FK und VP AStA-Referate und Gäste" xr:uid="{9507AF67-89BA-4991-BDB9-3D4DA8CB1762}"/>
    <hyperlink ref="D158" location="Referatspläne!F2" display="AStA-Referate + Gäste" xr:uid="{F2BB06D5-63F4-40D6-B45C-7A5FC74BEA06}"/>
    <hyperlink ref="D176" location="Referatspläne!C2" display="Andere Honorare" xr:uid="{3BDE09A3-B83F-46F9-8ADF-9D1E7A439A08}"/>
    <hyperlink ref="D147" location="Referatspläne!H2" display="AStA-Referate und Gäste" xr:uid="{41AB2D0A-05FD-40E8-A03B-5DBCBD95EAD1}"/>
    <hyperlink ref="D99" location="Stellenplan!D6" display="Sachkostenpauschale" xr:uid="{EED05398-635F-435D-8316-1A4040965281}"/>
    <hyperlink ref="D100" location="Stellenplan!E6" display="VBG Unfallversicherung AStA" xr:uid="{B639D2C8-CD6E-4F44-AD2A-7F790E487E32}"/>
    <hyperlink ref="D256" location="Referatspläne!D131" display="Bewirtung und Repräsentation Campus" xr:uid="{69DA7670-9DCB-40C5-A7B5-CAA3D6CA19F1}"/>
    <hyperlink ref="D267" location="BHS_II" display="Maßnahmen BHS" xr:uid="{A569DA01-277D-4AA9-828F-194E83F4CB91}"/>
  </hyperlinks>
  <pageMargins left="0.7" right="0.7" top="0.78740157499999996" bottom="0.78740157499999996" header="0.3" footer="0.3"/>
  <pageSetup paperSize="9"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F9C195-FB74-41BF-9778-22EFAF1DFD4A}">
  <dimension ref="A1:G9"/>
  <sheetViews>
    <sheetView workbookViewId="0">
      <selection activeCell="G8" sqref="G8"/>
    </sheetView>
  </sheetViews>
  <sheetFormatPr defaultColWidth="11.42578125" defaultRowHeight="14.45"/>
  <cols>
    <col min="1" max="1" width="20.85546875" style="259" customWidth="1"/>
    <col min="3" max="3" width="13" customWidth="1"/>
    <col min="4" max="4" width="38.42578125" customWidth="1"/>
    <col min="5" max="5" width="25.85546875" customWidth="1"/>
    <col min="6" max="6" width="2.42578125" customWidth="1"/>
    <col min="7" max="7" width="20.42578125" customWidth="1"/>
  </cols>
  <sheetData>
    <row r="1" spans="1:7" ht="15.6">
      <c r="A1" s="422" t="s">
        <v>581</v>
      </c>
    </row>
    <row r="2" spans="1:7" ht="15.6">
      <c r="A2" s="422" t="s">
        <v>582</v>
      </c>
    </row>
    <row r="5" spans="1:7" ht="28.9">
      <c r="A5" s="424" t="s">
        <v>583</v>
      </c>
      <c r="B5" s="425" t="s">
        <v>584</v>
      </c>
      <c r="C5" s="425" t="s">
        <v>585</v>
      </c>
      <c r="D5" s="425" t="s">
        <v>586</v>
      </c>
      <c r="E5" s="425" t="s">
        <v>587</v>
      </c>
      <c r="F5" s="425"/>
      <c r="G5" s="426" t="s">
        <v>588</v>
      </c>
    </row>
    <row r="6" spans="1:7">
      <c r="A6" s="259">
        <v>45989</v>
      </c>
      <c r="B6">
        <v>220330</v>
      </c>
      <c r="C6" s="423">
        <v>5000</v>
      </c>
      <c r="D6" t="s">
        <v>589</v>
      </c>
      <c r="E6" t="s">
        <v>590</v>
      </c>
      <c r="G6" s="423">
        <f>100000-C6</f>
        <v>95000</v>
      </c>
    </row>
    <row r="7" spans="1:7">
      <c r="A7" s="259">
        <v>46014</v>
      </c>
      <c r="B7">
        <v>220407</v>
      </c>
      <c r="C7" s="423">
        <v>5000</v>
      </c>
      <c r="D7" t="s">
        <v>589</v>
      </c>
      <c r="E7" t="s">
        <v>591</v>
      </c>
      <c r="G7" s="423">
        <f>G6-C7</f>
        <v>90000</v>
      </c>
    </row>
    <row r="8" spans="1:7">
      <c r="A8" s="259">
        <v>46031</v>
      </c>
      <c r="B8">
        <v>220441</v>
      </c>
      <c r="C8" s="423">
        <v>37500</v>
      </c>
      <c r="D8" t="s">
        <v>592</v>
      </c>
      <c r="E8" t="s">
        <v>593</v>
      </c>
      <c r="G8" s="423">
        <v>52500</v>
      </c>
    </row>
    <row r="9" spans="1:7">
      <c r="A9" s="259">
        <v>46031</v>
      </c>
      <c r="B9">
        <v>220442</v>
      </c>
      <c r="C9" s="423">
        <v>37500</v>
      </c>
      <c r="D9" t="s">
        <v>592</v>
      </c>
      <c r="E9" t="s">
        <v>593</v>
      </c>
      <c r="G9" s="423">
        <v>15000</v>
      </c>
    </row>
  </sheetData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CC9B89-9379-497A-BE42-45F0E95ED320}">
  <dimension ref="A1:J25"/>
  <sheetViews>
    <sheetView topLeftCell="A9" workbookViewId="0">
      <selection activeCell="A25" sqref="A25"/>
    </sheetView>
  </sheetViews>
  <sheetFormatPr defaultColWidth="11.42578125" defaultRowHeight="14.45"/>
  <cols>
    <col min="2" max="2" width="4.85546875" customWidth="1"/>
    <col min="4" max="4" width="40.5703125" customWidth="1"/>
    <col min="6" max="6" width="11.42578125" style="13"/>
    <col min="7" max="7" width="13.7109375" style="13" customWidth="1"/>
    <col min="8" max="8" width="13" customWidth="1"/>
    <col min="9" max="9" width="7.42578125" customWidth="1"/>
    <col min="10" max="10" width="9.28515625" customWidth="1"/>
  </cols>
  <sheetData>
    <row r="1" spans="1:10" ht="15.6">
      <c r="A1" s="7" t="s">
        <v>594</v>
      </c>
    </row>
    <row r="3" spans="1:10">
      <c r="A3" s="6" t="s">
        <v>595</v>
      </c>
    </row>
    <row r="4" spans="1:10">
      <c r="A4" s="6" t="s">
        <v>596</v>
      </c>
    </row>
    <row r="6" spans="1:10">
      <c r="A6" s="6" t="s">
        <v>597</v>
      </c>
      <c r="B6" s="6"/>
      <c r="C6" s="6" t="s">
        <v>598</v>
      </c>
      <c r="D6" s="6" t="s">
        <v>599</v>
      </c>
      <c r="E6" s="6" t="s">
        <v>600</v>
      </c>
      <c r="F6" s="419" t="s">
        <v>601</v>
      </c>
      <c r="G6" s="419" t="s">
        <v>602</v>
      </c>
      <c r="H6" s="6" t="s">
        <v>603</v>
      </c>
      <c r="I6" s="6" t="s">
        <v>604</v>
      </c>
      <c r="J6" s="6" t="s">
        <v>605</v>
      </c>
    </row>
    <row r="7" spans="1:10">
      <c r="A7" s="259">
        <v>45961</v>
      </c>
      <c r="C7">
        <v>603600</v>
      </c>
      <c r="D7" s="418" t="s">
        <v>606</v>
      </c>
      <c r="E7">
        <v>202510</v>
      </c>
      <c r="G7" s="13">
        <v>90</v>
      </c>
      <c r="H7" t="s">
        <v>607</v>
      </c>
      <c r="I7">
        <v>8</v>
      </c>
      <c r="J7">
        <v>11300</v>
      </c>
    </row>
    <row r="8" spans="1:10">
      <c r="A8" s="259">
        <v>45961</v>
      </c>
      <c r="C8">
        <v>374000</v>
      </c>
      <c r="D8" s="418" t="s">
        <v>608</v>
      </c>
      <c r="E8">
        <v>202510</v>
      </c>
      <c r="G8" s="13">
        <v>1223.0999999999999</v>
      </c>
      <c r="H8" t="s">
        <v>607</v>
      </c>
      <c r="I8">
        <v>28</v>
      </c>
      <c r="J8">
        <v>9</v>
      </c>
    </row>
    <row r="9" spans="1:10">
      <c r="A9" s="259">
        <v>45991</v>
      </c>
      <c r="C9">
        <v>603600</v>
      </c>
      <c r="D9" s="418" t="s">
        <v>606</v>
      </c>
      <c r="E9">
        <v>202511</v>
      </c>
      <c r="G9" s="13">
        <v>90</v>
      </c>
      <c r="H9" t="s">
        <v>609</v>
      </c>
      <c r="I9">
        <v>13</v>
      </c>
      <c r="J9">
        <v>11300</v>
      </c>
    </row>
    <row r="10" spans="1:10">
      <c r="A10" s="259">
        <v>45991</v>
      </c>
      <c r="C10">
        <v>374000</v>
      </c>
      <c r="D10" s="418" t="s">
        <v>608</v>
      </c>
      <c r="E10">
        <v>202511</v>
      </c>
      <c r="G10" s="13">
        <v>1223.0999999999999</v>
      </c>
      <c r="H10" t="s">
        <v>610</v>
      </c>
      <c r="I10">
        <v>37</v>
      </c>
      <c r="J10">
        <v>9</v>
      </c>
    </row>
    <row r="11" spans="1:10">
      <c r="A11" s="259">
        <v>46022</v>
      </c>
      <c r="C11">
        <v>603600</v>
      </c>
      <c r="D11" s="418" t="s">
        <v>606</v>
      </c>
      <c r="E11">
        <v>202512</v>
      </c>
      <c r="G11" s="13">
        <v>90</v>
      </c>
      <c r="H11" t="s">
        <v>611</v>
      </c>
      <c r="I11">
        <v>9</v>
      </c>
      <c r="J11">
        <v>11300</v>
      </c>
    </row>
    <row r="12" spans="1:10">
      <c r="A12" s="259">
        <v>46022</v>
      </c>
      <c r="C12">
        <v>374000</v>
      </c>
      <c r="D12" s="418" t="s">
        <v>608</v>
      </c>
      <c r="E12">
        <v>202512</v>
      </c>
      <c r="G12" s="13">
        <v>1223.0999999999999</v>
      </c>
      <c r="H12" t="s">
        <v>612</v>
      </c>
      <c r="I12">
        <v>31</v>
      </c>
      <c r="J12">
        <v>9</v>
      </c>
    </row>
    <row r="13" spans="1:10">
      <c r="A13" s="259">
        <v>46053</v>
      </c>
      <c r="C13">
        <v>603600</v>
      </c>
      <c r="D13" s="418" t="s">
        <v>606</v>
      </c>
      <c r="E13">
        <v>202601</v>
      </c>
      <c r="G13" s="13">
        <v>90</v>
      </c>
      <c r="H13" t="s">
        <v>613</v>
      </c>
      <c r="I13">
        <v>8</v>
      </c>
      <c r="J13">
        <v>11300</v>
      </c>
    </row>
    <row r="14" spans="1:10">
      <c r="A14" s="259">
        <v>46053</v>
      </c>
      <c r="C14">
        <v>374000</v>
      </c>
      <c r="D14" s="418" t="s">
        <v>608</v>
      </c>
      <c r="E14">
        <v>202601</v>
      </c>
      <c r="G14" s="13">
        <v>1223.0999999999999</v>
      </c>
      <c r="H14" t="s">
        <v>614</v>
      </c>
      <c r="I14">
        <v>28</v>
      </c>
      <c r="J14">
        <v>9</v>
      </c>
    </row>
    <row r="15" spans="1:10">
      <c r="A15" s="259">
        <v>46081</v>
      </c>
      <c r="C15">
        <v>603600</v>
      </c>
      <c r="D15" s="418" t="s">
        <v>606</v>
      </c>
      <c r="E15">
        <v>202602</v>
      </c>
      <c r="G15" s="13">
        <v>90</v>
      </c>
      <c r="H15" t="s">
        <v>615</v>
      </c>
      <c r="I15">
        <v>8</v>
      </c>
      <c r="J15">
        <v>11300</v>
      </c>
    </row>
    <row r="16" spans="1:10">
      <c r="A16" s="259">
        <v>46081</v>
      </c>
      <c r="C16">
        <v>374000</v>
      </c>
      <c r="D16" s="418" t="s">
        <v>608</v>
      </c>
      <c r="E16">
        <v>202602</v>
      </c>
      <c r="G16" s="13">
        <v>1223.0999999999999</v>
      </c>
      <c r="H16" t="s">
        <v>615</v>
      </c>
      <c r="I16">
        <v>28</v>
      </c>
      <c r="J16">
        <v>9</v>
      </c>
    </row>
    <row r="17" spans="1:10">
      <c r="A17" s="259">
        <v>46112</v>
      </c>
      <c r="C17">
        <v>603600</v>
      </c>
      <c r="D17" s="418" t="s">
        <v>606</v>
      </c>
      <c r="E17">
        <v>202603</v>
      </c>
      <c r="G17" s="13">
        <v>37.200000000000003</v>
      </c>
      <c r="H17" t="s">
        <v>616</v>
      </c>
      <c r="I17">
        <v>11</v>
      </c>
      <c r="J17">
        <v>11300</v>
      </c>
    </row>
    <row r="18" spans="1:10">
      <c r="A18" s="259">
        <v>46112</v>
      </c>
      <c r="C18">
        <v>374000</v>
      </c>
      <c r="D18" s="418" t="s">
        <v>608</v>
      </c>
      <c r="E18">
        <v>202603</v>
      </c>
      <c r="G18" s="13">
        <v>1207.8599999999999</v>
      </c>
      <c r="H18" t="s">
        <v>616</v>
      </c>
      <c r="I18">
        <v>30</v>
      </c>
      <c r="J18">
        <v>9</v>
      </c>
    </row>
    <row r="19" spans="1:10">
      <c r="A19" s="259">
        <v>46142</v>
      </c>
      <c r="C19">
        <v>603600</v>
      </c>
      <c r="D19" s="418" t="s">
        <v>606</v>
      </c>
      <c r="E19">
        <v>202604</v>
      </c>
      <c r="G19" s="13">
        <v>36</v>
      </c>
      <c r="H19" t="s">
        <v>617</v>
      </c>
      <c r="I19">
        <v>12</v>
      </c>
      <c r="J19">
        <v>11300</v>
      </c>
    </row>
    <row r="20" spans="1:10">
      <c r="A20" s="259">
        <v>46142</v>
      </c>
      <c r="C20">
        <v>374000</v>
      </c>
      <c r="D20" s="418" t="s">
        <v>608</v>
      </c>
      <c r="E20">
        <v>202604</v>
      </c>
      <c r="G20" s="13">
        <v>1478.37</v>
      </c>
      <c r="H20" t="s">
        <v>617</v>
      </c>
      <c r="I20">
        <v>31</v>
      </c>
      <c r="J20">
        <v>9</v>
      </c>
    </row>
    <row r="21" spans="1:10">
      <c r="A21" s="259">
        <v>46173</v>
      </c>
      <c r="C21">
        <v>603600</v>
      </c>
      <c r="D21" s="418" t="s">
        <v>606</v>
      </c>
      <c r="E21">
        <v>202605</v>
      </c>
      <c r="G21" s="13">
        <v>36</v>
      </c>
      <c r="H21" t="s">
        <v>618</v>
      </c>
      <c r="I21">
        <v>12</v>
      </c>
      <c r="J21">
        <v>11300</v>
      </c>
    </row>
    <row r="22" spans="1:10">
      <c r="A22" s="259">
        <v>46173</v>
      </c>
      <c r="C22">
        <v>374000</v>
      </c>
      <c r="D22" s="418" t="s">
        <v>608</v>
      </c>
      <c r="E22">
        <v>202605</v>
      </c>
      <c r="G22" s="13">
        <v>1321.11</v>
      </c>
      <c r="H22" t="s">
        <v>619</v>
      </c>
      <c r="I22">
        <v>362</v>
      </c>
      <c r="J22">
        <v>9</v>
      </c>
    </row>
    <row r="23" spans="1:10">
      <c r="A23" s="259">
        <v>46203</v>
      </c>
      <c r="C23">
        <v>603600</v>
      </c>
      <c r="D23" s="418" t="s">
        <v>606</v>
      </c>
      <c r="E23">
        <v>202605</v>
      </c>
      <c r="G23" s="13">
        <v>36</v>
      </c>
      <c r="H23" t="s">
        <v>620</v>
      </c>
      <c r="I23">
        <v>12</v>
      </c>
      <c r="J23">
        <v>11300</v>
      </c>
    </row>
    <row r="24" spans="1:10">
      <c r="A24" s="259">
        <v>46203</v>
      </c>
      <c r="C24">
        <v>374000</v>
      </c>
      <c r="D24" s="418" t="s">
        <v>608</v>
      </c>
      <c r="E24">
        <v>202605</v>
      </c>
      <c r="G24" s="13">
        <v>1321.11</v>
      </c>
      <c r="H24" t="s">
        <v>621</v>
      </c>
      <c r="I24">
        <v>306</v>
      </c>
      <c r="J24">
        <v>9</v>
      </c>
    </row>
    <row r="25" spans="1:10">
      <c r="A25" s="259"/>
    </row>
  </sheetData>
  <pageMargins left="0.7" right="0.7" top="0.78740157499999996" bottom="0.78740157499999996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663D7E-02BB-44A2-9D46-849843866413}">
  <dimension ref="A1:AB295"/>
  <sheetViews>
    <sheetView topLeftCell="I211" zoomScaleNormal="100" workbookViewId="0">
      <selection activeCell="X241" sqref="X241"/>
    </sheetView>
  </sheetViews>
  <sheetFormatPr defaultColWidth="11.5703125" defaultRowHeight="14.45"/>
  <cols>
    <col min="1" max="2" width="10.140625" style="22" customWidth="1"/>
    <col min="3" max="3" width="38.5703125" style="22" bestFit="1" customWidth="1"/>
    <col min="4" max="4" width="17.28515625" style="110" hidden="1" customWidth="1"/>
    <col min="5" max="5" width="13.7109375" style="22" hidden="1" customWidth="1"/>
    <col min="6" max="6" width="17.28515625" style="110" hidden="1" customWidth="1"/>
    <col min="7" max="7" width="13.85546875" style="76" hidden="1" customWidth="1"/>
    <col min="8" max="8" width="14.28515625" style="22" hidden="1" customWidth="1"/>
    <col min="9" max="10" width="13.85546875" style="76" customWidth="1"/>
    <col min="11" max="13" width="15.5703125" style="22" customWidth="1"/>
    <col min="14" max="16" width="13.85546875" style="22" hidden="1" customWidth="1"/>
    <col min="17" max="19" width="13.7109375" style="22" hidden="1" customWidth="1"/>
    <col min="20" max="21" width="13.85546875" style="22" customWidth="1"/>
    <col min="22" max="25" width="15.5703125" style="22" customWidth="1"/>
    <col min="26" max="26" width="14.28515625" style="64" customWidth="1"/>
    <col min="27" max="27" width="11.5703125" style="75"/>
    <col min="28" max="16384" width="11.5703125" style="22"/>
  </cols>
  <sheetData>
    <row r="1" spans="1:28" ht="15" thickTop="1">
      <c r="A1" s="516"/>
      <c r="B1" s="448"/>
      <c r="C1" s="448"/>
      <c r="D1" s="278" t="s">
        <v>622</v>
      </c>
      <c r="E1" s="283" t="s">
        <v>622</v>
      </c>
      <c r="F1" s="284" t="s">
        <v>622</v>
      </c>
      <c r="G1" s="283" t="s">
        <v>622</v>
      </c>
      <c r="H1" s="332" t="s">
        <v>622</v>
      </c>
      <c r="I1" s="335" t="s">
        <v>622</v>
      </c>
      <c r="J1" s="280" t="s">
        <v>623</v>
      </c>
      <c r="K1" s="63" t="s">
        <v>622</v>
      </c>
      <c r="L1" s="335" t="s">
        <v>622</v>
      </c>
      <c r="M1" s="335" t="s">
        <v>622</v>
      </c>
      <c r="N1" s="449" t="s">
        <v>622</v>
      </c>
      <c r="O1" s="449" t="s">
        <v>622</v>
      </c>
      <c r="P1" s="449" t="s">
        <v>622</v>
      </c>
      <c r="Q1" s="449" t="s">
        <v>622</v>
      </c>
      <c r="R1" s="449" t="s">
        <v>622</v>
      </c>
      <c r="S1" s="449" t="s">
        <v>622</v>
      </c>
      <c r="T1" s="449" t="s">
        <v>622</v>
      </c>
      <c r="U1" s="449" t="s">
        <v>622</v>
      </c>
      <c r="V1" s="449" t="s">
        <v>622</v>
      </c>
      <c r="W1" s="449" t="s">
        <v>622</v>
      </c>
      <c r="X1" s="449" t="s">
        <v>622</v>
      </c>
      <c r="Y1" s="449" t="s">
        <v>622</v>
      </c>
      <c r="AA1" s="65"/>
    </row>
    <row r="2" spans="1:28">
      <c r="A2" s="66"/>
      <c r="D2" s="279" t="s">
        <v>624</v>
      </c>
      <c r="E2" s="285" t="s">
        <v>624</v>
      </c>
      <c r="F2" s="286" t="s">
        <v>625</v>
      </c>
      <c r="G2" s="285" t="s">
        <v>626</v>
      </c>
      <c r="H2" s="331" t="s">
        <v>626</v>
      </c>
      <c r="I2" s="336" t="s">
        <v>627</v>
      </c>
      <c r="J2" s="68" t="s">
        <v>627</v>
      </c>
      <c r="K2" s="68" t="s">
        <v>627</v>
      </c>
      <c r="L2" s="336" t="s">
        <v>628</v>
      </c>
      <c r="M2" s="336" t="s">
        <v>628</v>
      </c>
      <c r="N2" s="69" t="s">
        <v>628</v>
      </c>
      <c r="O2" s="69" t="s">
        <v>628</v>
      </c>
      <c r="P2" s="69" t="s">
        <v>628</v>
      </c>
      <c r="Q2" s="69" t="s">
        <v>628</v>
      </c>
      <c r="R2" s="69" t="s">
        <v>628</v>
      </c>
      <c r="S2" s="69" t="s">
        <v>628</v>
      </c>
      <c r="T2" s="69" t="s">
        <v>628</v>
      </c>
      <c r="U2" s="69" t="s">
        <v>628</v>
      </c>
      <c r="V2" s="69" t="s">
        <v>628</v>
      </c>
      <c r="W2" s="69" t="s">
        <v>628</v>
      </c>
      <c r="X2" s="69" t="s">
        <v>628</v>
      </c>
      <c r="Y2" s="69" t="s">
        <v>628</v>
      </c>
      <c r="AA2" s="65"/>
    </row>
    <row r="3" spans="1:28">
      <c r="A3" s="66"/>
      <c r="D3" s="279" t="s">
        <v>629</v>
      </c>
      <c r="E3" s="287" t="s">
        <v>630</v>
      </c>
      <c r="F3" s="286" t="s">
        <v>629</v>
      </c>
      <c r="G3" s="287" t="s">
        <v>631</v>
      </c>
      <c r="H3" s="333" t="s">
        <v>630</v>
      </c>
      <c r="I3" s="337" t="s">
        <v>631</v>
      </c>
      <c r="J3" s="281" t="s">
        <v>631</v>
      </c>
      <c r="K3" s="70" t="s">
        <v>630</v>
      </c>
      <c r="L3" s="337" t="s">
        <v>631</v>
      </c>
      <c r="M3" s="337" t="s">
        <v>631</v>
      </c>
      <c r="N3" s="181" t="s">
        <v>630</v>
      </c>
      <c r="O3" s="181" t="s">
        <v>630</v>
      </c>
      <c r="P3" s="181" t="s">
        <v>630</v>
      </c>
      <c r="Q3" s="181" t="s">
        <v>630</v>
      </c>
      <c r="R3" s="181" t="s">
        <v>630</v>
      </c>
      <c r="S3" s="181" t="s">
        <v>630</v>
      </c>
      <c r="T3" s="181" t="s">
        <v>630</v>
      </c>
      <c r="U3" s="181" t="s">
        <v>630</v>
      </c>
      <c r="V3" s="181" t="s">
        <v>630</v>
      </c>
      <c r="W3" s="181" t="s">
        <v>630</v>
      </c>
      <c r="X3" s="181" t="s">
        <v>630</v>
      </c>
      <c r="Y3" s="181" t="s">
        <v>630</v>
      </c>
      <c r="AA3" s="65"/>
    </row>
    <row r="4" spans="1:28" ht="25.15" customHeight="1">
      <c r="A4" s="517" t="s">
        <v>632</v>
      </c>
      <c r="B4" s="271"/>
      <c r="C4" s="271" t="s">
        <v>633</v>
      </c>
      <c r="D4" s="450" t="s">
        <v>634</v>
      </c>
      <c r="E4" s="288">
        <v>44834</v>
      </c>
      <c r="F4" s="518" t="s">
        <v>635</v>
      </c>
      <c r="G4" s="292" t="s">
        <v>636</v>
      </c>
      <c r="H4" s="519">
        <v>45199</v>
      </c>
      <c r="I4" s="520" t="s">
        <v>637</v>
      </c>
      <c r="J4" s="457" t="s">
        <v>638</v>
      </c>
      <c r="K4" s="521">
        <v>45565</v>
      </c>
      <c r="L4" s="520"/>
      <c r="M4" s="521" t="s">
        <v>639</v>
      </c>
      <c r="N4" s="454">
        <v>45596</v>
      </c>
      <c r="O4" s="454">
        <v>45626</v>
      </c>
      <c r="P4" s="454">
        <v>45657</v>
      </c>
      <c r="Q4" s="454">
        <v>45688</v>
      </c>
      <c r="R4" s="454">
        <v>45716</v>
      </c>
      <c r="S4" s="454">
        <v>45747</v>
      </c>
      <c r="T4" s="454">
        <v>45777</v>
      </c>
      <c r="U4" s="454">
        <v>45808</v>
      </c>
      <c r="V4" s="454">
        <v>45838</v>
      </c>
      <c r="W4" s="454">
        <v>45869</v>
      </c>
      <c r="X4" s="454">
        <v>45900</v>
      </c>
      <c r="Y4" s="454">
        <v>45930</v>
      </c>
      <c r="AA4" s="65"/>
    </row>
    <row r="5" spans="1:28" s="76" customFormat="1">
      <c r="A5" s="522" t="s">
        <v>640</v>
      </c>
      <c r="B5" s="522"/>
      <c r="C5" s="523"/>
      <c r="D5" s="524"/>
      <c r="E5" s="525"/>
      <c r="F5" s="526"/>
      <c r="G5" s="525"/>
      <c r="H5" s="527"/>
      <c r="I5" s="528"/>
      <c r="J5" s="529"/>
      <c r="K5" s="530"/>
      <c r="L5" s="531"/>
      <c r="M5" s="530"/>
      <c r="N5" s="532"/>
      <c r="O5" s="533"/>
      <c r="P5" s="533"/>
      <c r="Q5" s="532"/>
      <c r="R5" s="533"/>
      <c r="S5" s="533"/>
      <c r="T5" s="533"/>
      <c r="U5" s="533"/>
      <c r="V5" s="533"/>
      <c r="W5" s="533"/>
      <c r="X5" s="533"/>
      <c r="Y5" s="533"/>
      <c r="Z5" s="74"/>
      <c r="AA5" s="75"/>
    </row>
    <row r="6" spans="1:28" s="76" customFormat="1">
      <c r="A6" s="534" t="s">
        <v>641</v>
      </c>
      <c r="B6" s="535" t="s">
        <v>642</v>
      </c>
      <c r="C6" s="523" t="s">
        <v>38</v>
      </c>
      <c r="D6" s="524"/>
      <c r="E6" s="536"/>
      <c r="F6" s="526"/>
      <c r="G6" s="525"/>
      <c r="H6" s="537"/>
      <c r="I6" s="528"/>
      <c r="J6" s="529"/>
      <c r="K6" s="530"/>
      <c r="L6" s="531"/>
      <c r="M6" s="530"/>
      <c r="N6" s="532"/>
      <c r="O6" s="533"/>
      <c r="P6" s="533"/>
      <c r="Q6" s="532"/>
      <c r="R6" s="533"/>
      <c r="S6" s="533"/>
      <c r="T6" s="533"/>
      <c r="U6" s="533"/>
      <c r="V6" s="533"/>
      <c r="W6" s="533"/>
      <c r="X6" s="533"/>
      <c r="Y6" s="533"/>
      <c r="Z6" s="74"/>
      <c r="AA6" s="75"/>
    </row>
    <row r="7" spans="1:28" s="76" customFormat="1">
      <c r="A7" s="538" t="s">
        <v>643</v>
      </c>
      <c r="B7" s="538" t="s">
        <v>42</v>
      </c>
      <c r="C7" s="539" t="s">
        <v>644</v>
      </c>
      <c r="D7" s="540">
        <v>0</v>
      </c>
      <c r="E7" s="541">
        <v>0</v>
      </c>
      <c r="F7" s="542">
        <v>0</v>
      </c>
      <c r="G7" s="543">
        <v>0</v>
      </c>
      <c r="H7" s="544">
        <v>0</v>
      </c>
      <c r="I7" s="545">
        <v>0</v>
      </c>
      <c r="J7" s="546">
        <v>0</v>
      </c>
      <c r="K7" s="547">
        <v>0</v>
      </c>
      <c r="L7" s="548"/>
      <c r="M7" s="547"/>
      <c r="N7" s="549">
        <v>0</v>
      </c>
      <c r="O7" s="550">
        <v>0</v>
      </c>
      <c r="P7" s="550">
        <v>0</v>
      </c>
      <c r="Q7" s="549">
        <v>0</v>
      </c>
      <c r="R7" s="550">
        <v>0</v>
      </c>
      <c r="S7" s="550">
        <v>0</v>
      </c>
      <c r="T7" s="550">
        <v>0</v>
      </c>
      <c r="U7" s="550">
        <v>0</v>
      </c>
      <c r="V7" s="550">
        <v>0</v>
      </c>
      <c r="W7" s="550">
        <v>0</v>
      </c>
      <c r="X7" s="550">
        <v>0</v>
      </c>
      <c r="Y7" s="550">
        <v>0</v>
      </c>
      <c r="Z7" s="74"/>
      <c r="AA7" s="75"/>
    </row>
    <row r="8" spans="1:28" s="76" customFormat="1">
      <c r="A8" s="538" t="s">
        <v>48</v>
      </c>
      <c r="B8" s="551" t="s">
        <v>645</v>
      </c>
      <c r="C8" s="539" t="s">
        <v>646</v>
      </c>
      <c r="D8" s="540">
        <v>0</v>
      </c>
      <c r="E8" s="541">
        <v>0</v>
      </c>
      <c r="F8" s="542">
        <v>0</v>
      </c>
      <c r="G8" s="543">
        <v>0</v>
      </c>
      <c r="H8" s="544">
        <v>0</v>
      </c>
      <c r="I8" s="545">
        <v>0</v>
      </c>
      <c r="J8" s="546">
        <v>0</v>
      </c>
      <c r="K8" s="547">
        <v>69</v>
      </c>
      <c r="L8" s="548"/>
      <c r="M8" s="547"/>
      <c r="N8" s="549">
        <v>74</v>
      </c>
      <c r="O8" s="550">
        <v>-69</v>
      </c>
      <c r="P8" s="550">
        <v>-69</v>
      </c>
      <c r="Q8" s="549">
        <v>-69</v>
      </c>
      <c r="R8" s="550">
        <v>-69</v>
      </c>
      <c r="S8" s="550">
        <v>-69</v>
      </c>
      <c r="T8" s="550">
        <v>-69</v>
      </c>
      <c r="U8" s="550">
        <v>46</v>
      </c>
      <c r="V8" s="550">
        <v>-69</v>
      </c>
      <c r="W8" s="550">
        <v>-69</v>
      </c>
      <c r="X8" s="550">
        <v>-69</v>
      </c>
      <c r="Y8" s="550">
        <v>-69</v>
      </c>
      <c r="Z8" s="74"/>
      <c r="AA8" s="75"/>
    </row>
    <row r="9" spans="1:28">
      <c r="A9" s="552" t="s">
        <v>647</v>
      </c>
      <c r="B9" s="552" t="s">
        <v>39</v>
      </c>
      <c r="C9" s="553" t="s">
        <v>648</v>
      </c>
      <c r="D9" s="554">
        <v>5000</v>
      </c>
      <c r="E9" s="555">
        <v>6205</v>
      </c>
      <c r="F9" s="556">
        <v>5000</v>
      </c>
      <c r="G9" s="557">
        <v>2000</v>
      </c>
      <c r="H9" s="558">
        <v>3805</v>
      </c>
      <c r="I9" s="559">
        <v>2000</v>
      </c>
      <c r="J9" s="560">
        <v>1000</v>
      </c>
      <c r="K9" s="561">
        <v>300</v>
      </c>
      <c r="L9" s="562"/>
      <c r="M9" s="561"/>
      <c r="N9" s="563">
        <v>0</v>
      </c>
      <c r="O9" s="564">
        <v>0</v>
      </c>
      <c r="P9" s="564">
        <v>1200</v>
      </c>
      <c r="Q9" s="563">
        <v>1200</v>
      </c>
      <c r="R9" s="564">
        <v>1200</v>
      </c>
      <c r="S9" s="564">
        <v>1200</v>
      </c>
      <c r="T9" s="564">
        <v>1200</v>
      </c>
      <c r="U9" s="564">
        <v>1200</v>
      </c>
      <c r="V9" s="564">
        <v>1200</v>
      </c>
      <c r="W9" s="564">
        <v>1200</v>
      </c>
      <c r="X9" s="564">
        <v>1200</v>
      </c>
      <c r="Y9" s="564">
        <v>1200</v>
      </c>
    </row>
    <row r="10" spans="1:28">
      <c r="A10" s="552" t="s">
        <v>649</v>
      </c>
      <c r="B10" s="552" t="s">
        <v>39</v>
      </c>
      <c r="C10" s="553" t="s">
        <v>650</v>
      </c>
      <c r="D10" s="554">
        <v>1000</v>
      </c>
      <c r="E10" s="565">
        <v>0</v>
      </c>
      <c r="F10" s="556">
        <v>1000</v>
      </c>
      <c r="G10" s="557">
        <v>0</v>
      </c>
      <c r="H10" s="558">
        <v>0</v>
      </c>
      <c r="I10" s="559">
        <v>2000</v>
      </c>
      <c r="J10" s="560">
        <v>0</v>
      </c>
      <c r="K10" s="561">
        <v>0</v>
      </c>
      <c r="L10" s="562"/>
      <c r="M10" s="561"/>
      <c r="N10" s="563">
        <v>0</v>
      </c>
      <c r="O10" s="564">
        <v>0</v>
      </c>
      <c r="P10" s="564">
        <v>0</v>
      </c>
      <c r="Q10" s="563">
        <v>0</v>
      </c>
      <c r="R10" s="564">
        <v>0</v>
      </c>
      <c r="S10" s="564"/>
      <c r="T10" s="564"/>
      <c r="U10" s="564"/>
      <c r="V10" s="564"/>
      <c r="W10" s="564"/>
      <c r="X10" s="564"/>
      <c r="Y10" s="564"/>
    </row>
    <row r="11" spans="1:28">
      <c r="A11" s="566" t="s">
        <v>651</v>
      </c>
      <c r="B11" s="566"/>
      <c r="C11" s="567" t="s">
        <v>652</v>
      </c>
      <c r="D11" s="568"/>
      <c r="E11" s="569"/>
      <c r="F11" s="570"/>
      <c r="G11" s="571"/>
      <c r="H11" s="572"/>
      <c r="I11" s="573"/>
      <c r="J11" s="574"/>
      <c r="K11" s="575"/>
      <c r="L11" s="576"/>
      <c r="M11" s="575"/>
      <c r="N11" s="577"/>
      <c r="O11" s="578"/>
      <c r="P11" s="578"/>
      <c r="Q11" s="577"/>
      <c r="R11" s="578"/>
      <c r="S11" s="578"/>
      <c r="T11" s="578"/>
      <c r="U11" s="578"/>
      <c r="V11" s="578"/>
      <c r="W11" s="578"/>
      <c r="X11" s="578"/>
      <c r="Y11" s="578"/>
    </row>
    <row r="12" spans="1:28">
      <c r="A12" s="552" t="s">
        <v>52</v>
      </c>
      <c r="B12" s="579" t="s">
        <v>653</v>
      </c>
      <c r="C12" s="553" t="s">
        <v>654</v>
      </c>
      <c r="D12" s="554">
        <v>23000</v>
      </c>
      <c r="E12" s="555">
        <v>37605</v>
      </c>
      <c r="F12" s="556">
        <v>23000</v>
      </c>
      <c r="G12" s="557">
        <v>56381</v>
      </c>
      <c r="H12" s="580">
        <v>37655.370000000003</v>
      </c>
      <c r="I12" s="559">
        <v>46150</v>
      </c>
      <c r="J12" s="560">
        <v>46150</v>
      </c>
      <c r="K12" s="581">
        <v>44449.34</v>
      </c>
      <c r="L12" s="582"/>
      <c r="M12" s="581"/>
      <c r="N12" s="583">
        <v>149.69999999999999</v>
      </c>
      <c r="O12" s="584">
        <v>149.69999999999999</v>
      </c>
      <c r="P12" s="584">
        <v>948.3</v>
      </c>
      <c r="Q12" s="583">
        <v>16717.099999999999</v>
      </c>
      <c r="R12" s="584">
        <v>22755</v>
      </c>
      <c r="S12" s="584">
        <v>23303.9</v>
      </c>
      <c r="T12" s="584">
        <v>23553.4</v>
      </c>
      <c r="U12" s="584">
        <v>23553.4</v>
      </c>
      <c r="V12" s="584">
        <v>25000.5</v>
      </c>
      <c r="W12" s="584">
        <v>38922.79</v>
      </c>
      <c r="X12" s="584">
        <v>45510.87</v>
      </c>
      <c r="Y12" s="584">
        <v>45959.97</v>
      </c>
    </row>
    <row r="13" spans="1:28">
      <c r="A13" s="552" t="s">
        <v>55</v>
      </c>
      <c r="B13" s="579" t="s">
        <v>655</v>
      </c>
      <c r="C13" s="553" t="s">
        <v>656</v>
      </c>
      <c r="D13" s="554">
        <v>1500</v>
      </c>
      <c r="E13" s="585">
        <v>318</v>
      </c>
      <c r="F13" s="556">
        <v>1500</v>
      </c>
      <c r="G13" s="557">
        <v>11776</v>
      </c>
      <c r="H13" s="580">
        <v>2690</v>
      </c>
      <c r="I13" s="559">
        <v>9010</v>
      </c>
      <c r="J13" s="560">
        <v>3500</v>
      </c>
      <c r="K13" s="581">
        <v>2595</v>
      </c>
      <c r="L13" s="582"/>
      <c r="M13" s="581"/>
      <c r="N13" s="586">
        <v>870</v>
      </c>
      <c r="O13" s="583">
        <v>1080</v>
      </c>
      <c r="P13" s="584">
        <v>1095</v>
      </c>
      <c r="Q13" s="584">
        <v>1095</v>
      </c>
      <c r="R13" s="583">
        <v>1095</v>
      </c>
      <c r="S13" s="584">
        <v>1095</v>
      </c>
      <c r="T13" s="584">
        <v>1245</v>
      </c>
      <c r="U13" s="584">
        <v>1245</v>
      </c>
      <c r="V13" s="584">
        <v>1245</v>
      </c>
      <c r="W13" s="584">
        <v>1200</v>
      </c>
      <c r="X13" s="584">
        <v>1200</v>
      </c>
      <c r="Y13" s="584">
        <v>1200</v>
      </c>
      <c r="AA13" s="64"/>
      <c r="AB13" s="75"/>
    </row>
    <row r="14" spans="1:28">
      <c r="A14" s="552" t="s">
        <v>58</v>
      </c>
      <c r="B14" s="579" t="s">
        <v>657</v>
      </c>
      <c r="C14" s="553" t="s">
        <v>658</v>
      </c>
      <c r="D14" s="554">
        <v>4500</v>
      </c>
      <c r="E14" s="585">
        <v>2550</v>
      </c>
      <c r="F14" s="556">
        <v>4500</v>
      </c>
      <c r="G14" s="557">
        <v>19572.5</v>
      </c>
      <c r="H14" s="580">
        <v>7685</v>
      </c>
      <c r="I14" s="559">
        <v>15500</v>
      </c>
      <c r="J14" s="560">
        <v>9000</v>
      </c>
      <c r="K14" s="581">
        <v>7230</v>
      </c>
      <c r="L14" s="582"/>
      <c r="M14" s="581"/>
      <c r="N14" s="583">
        <v>0</v>
      </c>
      <c r="O14" s="584">
        <v>2530</v>
      </c>
      <c r="P14" s="584">
        <v>3430</v>
      </c>
      <c r="Q14" s="583">
        <v>3730</v>
      </c>
      <c r="R14" s="584">
        <v>5730</v>
      </c>
      <c r="S14" s="584">
        <v>6525</v>
      </c>
      <c r="T14" s="584">
        <v>8285</v>
      </c>
      <c r="U14" s="584">
        <v>8175</v>
      </c>
      <c r="V14" s="584">
        <v>8285</v>
      </c>
      <c r="W14" s="584">
        <v>8285</v>
      </c>
      <c r="X14" s="584">
        <v>9685</v>
      </c>
      <c r="Y14" s="584">
        <v>11385</v>
      </c>
    </row>
    <row r="15" spans="1:28">
      <c r="A15" s="552" t="s">
        <v>95</v>
      </c>
      <c r="B15" s="579" t="s">
        <v>659</v>
      </c>
      <c r="C15" s="553" t="s">
        <v>660</v>
      </c>
      <c r="D15" s="554">
        <v>32000</v>
      </c>
      <c r="E15" s="585">
        <v>24965</v>
      </c>
      <c r="F15" s="556">
        <v>32000</v>
      </c>
      <c r="G15" s="557">
        <v>29578</v>
      </c>
      <c r="H15" s="580">
        <v>23885</v>
      </c>
      <c r="I15" s="559">
        <v>23500</v>
      </c>
      <c r="J15" s="560">
        <v>25000</v>
      </c>
      <c r="K15" s="581">
        <v>28160</v>
      </c>
      <c r="L15" s="582"/>
      <c r="M15" s="581"/>
      <c r="N15" s="583">
        <v>1850</v>
      </c>
      <c r="O15" s="584">
        <v>2600</v>
      </c>
      <c r="P15" s="584">
        <v>2550</v>
      </c>
      <c r="Q15" s="583">
        <v>6250</v>
      </c>
      <c r="R15" s="584">
        <v>14400</v>
      </c>
      <c r="S15" s="584">
        <v>15350</v>
      </c>
      <c r="T15" s="584">
        <v>15750</v>
      </c>
      <c r="U15" s="584">
        <v>15800</v>
      </c>
      <c r="V15" s="584">
        <v>15650</v>
      </c>
      <c r="W15" s="584">
        <v>23700</v>
      </c>
      <c r="X15" s="584">
        <v>26950</v>
      </c>
      <c r="Y15" s="584">
        <v>26800</v>
      </c>
    </row>
    <row r="16" spans="1:28">
      <c r="A16" s="538" t="s">
        <v>661</v>
      </c>
      <c r="B16" s="552"/>
      <c r="C16" s="539" t="s">
        <v>662</v>
      </c>
      <c r="D16" s="554">
        <v>0</v>
      </c>
      <c r="E16" s="585">
        <v>0</v>
      </c>
      <c r="F16" s="556">
        <v>0</v>
      </c>
      <c r="G16" s="557">
        <v>0</v>
      </c>
      <c r="H16" s="580">
        <v>0</v>
      </c>
      <c r="I16" s="559">
        <v>0</v>
      </c>
      <c r="J16" s="560">
        <v>0</v>
      </c>
      <c r="K16" s="581">
        <v>0</v>
      </c>
      <c r="L16" s="582"/>
      <c r="M16" s="581"/>
      <c r="N16" s="583">
        <v>0</v>
      </c>
      <c r="O16" s="584">
        <v>0</v>
      </c>
      <c r="P16" s="584">
        <v>0</v>
      </c>
      <c r="Q16" s="583">
        <v>0</v>
      </c>
      <c r="R16" s="584">
        <v>0</v>
      </c>
      <c r="S16" s="584">
        <v>0</v>
      </c>
      <c r="T16" s="584">
        <v>0</v>
      </c>
      <c r="U16" s="584">
        <v>0</v>
      </c>
      <c r="V16" s="584">
        <v>0</v>
      </c>
      <c r="W16" s="584">
        <v>0</v>
      </c>
      <c r="X16" s="584">
        <v>0</v>
      </c>
      <c r="Y16" s="584">
        <v>0</v>
      </c>
    </row>
    <row r="17" spans="1:25">
      <c r="A17" s="552" t="s">
        <v>92</v>
      </c>
      <c r="B17" s="579" t="s">
        <v>663</v>
      </c>
      <c r="C17" s="553" t="s">
        <v>664</v>
      </c>
      <c r="D17" s="554">
        <v>24000</v>
      </c>
      <c r="E17" s="585">
        <v>23964</v>
      </c>
      <c r="F17" s="556">
        <v>24000</v>
      </c>
      <c r="G17" s="557">
        <v>29222</v>
      </c>
      <c r="H17" s="580">
        <v>0</v>
      </c>
      <c r="I17" s="559">
        <v>24000</v>
      </c>
      <c r="J17" s="560">
        <v>0</v>
      </c>
      <c r="K17" s="581">
        <v>0</v>
      </c>
      <c r="L17" s="582"/>
      <c r="M17" s="581"/>
      <c r="N17" s="583">
        <v>0</v>
      </c>
      <c r="O17" s="584">
        <v>0</v>
      </c>
      <c r="P17" s="584">
        <v>0</v>
      </c>
      <c r="Q17" s="583">
        <v>0</v>
      </c>
      <c r="R17" s="584">
        <v>0</v>
      </c>
      <c r="S17" s="584">
        <v>0</v>
      </c>
      <c r="T17" s="584">
        <v>0</v>
      </c>
      <c r="U17" s="584">
        <v>0</v>
      </c>
      <c r="V17" s="584">
        <v>0</v>
      </c>
      <c r="W17" s="584">
        <v>0</v>
      </c>
      <c r="X17" s="584">
        <v>0</v>
      </c>
      <c r="Y17" s="584">
        <v>0</v>
      </c>
    </row>
    <row r="18" spans="1:25">
      <c r="A18" s="552" t="s">
        <v>665</v>
      </c>
      <c r="B18" s="579" t="s">
        <v>666</v>
      </c>
      <c r="C18" s="553" t="s">
        <v>667</v>
      </c>
      <c r="D18" s="554">
        <v>2500</v>
      </c>
      <c r="E18" s="585">
        <v>0</v>
      </c>
      <c r="F18" s="556">
        <v>2500</v>
      </c>
      <c r="G18" s="557">
        <v>10250</v>
      </c>
      <c r="H18" s="580">
        <v>800</v>
      </c>
      <c r="I18" s="559">
        <f>2500+225</f>
        <v>2725</v>
      </c>
      <c r="J18" s="560">
        <v>2500</v>
      </c>
      <c r="K18" s="581">
        <v>2161.1999999999998</v>
      </c>
      <c r="L18" s="582"/>
      <c r="M18" s="581"/>
      <c r="N18" s="583">
        <v>0</v>
      </c>
      <c r="O18" s="584">
        <v>0</v>
      </c>
      <c r="P18" s="584">
        <v>0</v>
      </c>
      <c r="Q18" s="583">
        <v>0</v>
      </c>
      <c r="R18" s="584">
        <v>0</v>
      </c>
      <c r="S18" s="584">
        <v>323.05</v>
      </c>
      <c r="T18" s="584">
        <v>507.65</v>
      </c>
      <c r="U18" s="584">
        <v>507.65</v>
      </c>
      <c r="V18" s="584">
        <v>507.65</v>
      </c>
      <c r="W18" s="584">
        <v>553.79999999999995</v>
      </c>
      <c r="X18" s="584">
        <v>553.79999999999995</v>
      </c>
      <c r="Y18" s="584">
        <v>553.79999999999995</v>
      </c>
    </row>
    <row r="19" spans="1:25">
      <c r="A19" s="552" t="s">
        <v>668</v>
      </c>
      <c r="B19" s="579" t="s">
        <v>669</v>
      </c>
      <c r="C19" s="553" t="s">
        <v>670</v>
      </c>
      <c r="D19" s="554">
        <v>14500</v>
      </c>
      <c r="E19" s="585">
        <v>0</v>
      </c>
      <c r="F19" s="556">
        <v>14500</v>
      </c>
      <c r="G19" s="557">
        <v>10800</v>
      </c>
      <c r="H19" s="580">
        <v>0</v>
      </c>
      <c r="I19" s="559">
        <f>9176.25+70.31</f>
        <v>9246.56</v>
      </c>
      <c r="J19" s="560">
        <v>5000</v>
      </c>
      <c r="K19" s="581">
        <v>0</v>
      </c>
      <c r="L19" s="582"/>
      <c r="M19" s="581"/>
      <c r="N19" s="583">
        <v>0</v>
      </c>
      <c r="O19" s="584">
        <v>0</v>
      </c>
      <c r="P19" s="584">
        <v>0</v>
      </c>
      <c r="Q19" s="583">
        <v>0</v>
      </c>
      <c r="R19" s="584">
        <v>0</v>
      </c>
      <c r="S19" s="584">
        <v>0</v>
      </c>
      <c r="T19" s="584">
        <v>0</v>
      </c>
      <c r="U19" s="584">
        <v>0</v>
      </c>
      <c r="V19" s="584">
        <v>0</v>
      </c>
      <c r="W19" s="584">
        <v>0</v>
      </c>
      <c r="X19" s="584">
        <v>0</v>
      </c>
      <c r="Y19" s="584">
        <v>0</v>
      </c>
    </row>
    <row r="20" spans="1:25">
      <c r="A20" s="552" t="s">
        <v>671</v>
      </c>
      <c r="B20" s="579" t="s">
        <v>672</v>
      </c>
      <c r="C20" s="553" t="s">
        <v>673</v>
      </c>
      <c r="D20" s="554">
        <v>10000</v>
      </c>
      <c r="E20" s="585">
        <v>0</v>
      </c>
      <c r="F20" s="556">
        <v>10000</v>
      </c>
      <c r="G20" s="557">
        <v>6300</v>
      </c>
      <c r="H20" s="580">
        <v>0</v>
      </c>
      <c r="I20" s="559">
        <f>0+154.69</f>
        <v>154.69</v>
      </c>
      <c r="J20" s="560">
        <v>0</v>
      </c>
      <c r="K20" s="581">
        <v>0</v>
      </c>
      <c r="L20" s="582"/>
      <c r="M20" s="581"/>
      <c r="N20" s="583">
        <v>0</v>
      </c>
      <c r="O20" s="584">
        <v>0</v>
      </c>
      <c r="P20" s="584">
        <v>0</v>
      </c>
      <c r="Q20" s="583">
        <v>0</v>
      </c>
      <c r="R20" s="584">
        <v>0</v>
      </c>
      <c r="S20" s="584">
        <v>0</v>
      </c>
      <c r="T20" s="584">
        <v>0</v>
      </c>
      <c r="U20" s="584">
        <v>0</v>
      </c>
      <c r="V20" s="584">
        <v>0</v>
      </c>
      <c r="W20" s="584">
        <v>0</v>
      </c>
      <c r="X20" s="584">
        <v>0</v>
      </c>
      <c r="Y20" s="584">
        <v>0</v>
      </c>
    </row>
    <row r="21" spans="1:25">
      <c r="A21" s="587" t="s">
        <v>45</v>
      </c>
      <c r="B21" s="552" t="s">
        <v>44</v>
      </c>
      <c r="C21" s="588" t="s">
        <v>674</v>
      </c>
      <c r="D21" s="554">
        <v>0</v>
      </c>
      <c r="E21" s="585">
        <v>0</v>
      </c>
      <c r="F21" s="556">
        <v>0</v>
      </c>
      <c r="G21" s="557">
        <v>0</v>
      </c>
      <c r="H21" s="580">
        <v>0</v>
      </c>
      <c r="I21" s="559">
        <v>500</v>
      </c>
      <c r="J21" s="560">
        <v>0</v>
      </c>
      <c r="K21" s="581">
        <v>0</v>
      </c>
      <c r="L21" s="582"/>
      <c r="M21" s="581"/>
      <c r="N21" s="583">
        <v>0</v>
      </c>
      <c r="O21" s="584">
        <v>0</v>
      </c>
      <c r="P21" s="584">
        <v>0</v>
      </c>
      <c r="Q21" s="583">
        <v>0</v>
      </c>
      <c r="R21" s="584">
        <v>0</v>
      </c>
      <c r="S21" s="584">
        <v>0</v>
      </c>
      <c r="T21" s="584">
        <v>0</v>
      </c>
      <c r="U21" s="584">
        <v>0</v>
      </c>
      <c r="V21" s="584">
        <v>0</v>
      </c>
      <c r="W21" s="584">
        <v>0</v>
      </c>
      <c r="X21" s="584">
        <v>0</v>
      </c>
      <c r="Y21" s="584">
        <v>0</v>
      </c>
    </row>
    <row r="22" spans="1:25">
      <c r="A22" s="589" t="s">
        <v>77</v>
      </c>
      <c r="B22" s="579" t="s">
        <v>675</v>
      </c>
      <c r="C22" s="590" t="s">
        <v>676</v>
      </c>
      <c r="D22" s="554">
        <v>7000</v>
      </c>
      <c r="E22" s="585">
        <v>6229.55</v>
      </c>
      <c r="F22" s="556">
        <v>7000</v>
      </c>
      <c r="G22" s="557">
        <v>3600</v>
      </c>
      <c r="H22" s="580">
        <v>5262</v>
      </c>
      <c r="I22" s="559">
        <v>5000</v>
      </c>
      <c r="J22" s="560">
        <v>3000</v>
      </c>
      <c r="K22" s="581">
        <v>2715.99</v>
      </c>
      <c r="L22" s="582"/>
      <c r="M22" s="581"/>
      <c r="N22" s="583">
        <v>184</v>
      </c>
      <c r="O22" s="584">
        <v>311</v>
      </c>
      <c r="P22" s="584">
        <v>458</v>
      </c>
      <c r="Q22" s="583">
        <v>585</v>
      </c>
      <c r="R22" s="584">
        <v>1957</v>
      </c>
      <c r="S22" s="584">
        <v>2284</v>
      </c>
      <c r="T22" s="584">
        <v>2796</v>
      </c>
      <c r="U22" s="584">
        <v>2796</v>
      </c>
      <c r="V22" s="584">
        <v>3093</v>
      </c>
      <c r="W22" s="584">
        <v>3370</v>
      </c>
      <c r="X22" s="584">
        <v>5584</v>
      </c>
      <c r="Y22" s="584">
        <v>5784</v>
      </c>
    </row>
    <row r="23" spans="1:25">
      <c r="A23" s="591"/>
      <c r="B23" s="592"/>
      <c r="C23" s="593" t="s">
        <v>677</v>
      </c>
      <c r="D23" s="594">
        <f t="shared" ref="D23:Y23" si="0">SUM(D7:D22)</f>
        <v>125000</v>
      </c>
      <c r="E23" s="595">
        <f t="shared" si="0"/>
        <v>101836.55</v>
      </c>
      <c r="F23" s="596">
        <f t="shared" si="0"/>
        <v>125000</v>
      </c>
      <c r="G23" s="595">
        <f>SUM(G7:G22)</f>
        <v>179479.5</v>
      </c>
      <c r="H23" s="597">
        <f t="shared" ref="H23" si="1">SUM(H7:H22)</f>
        <v>81782.37</v>
      </c>
      <c r="I23" s="598">
        <f>SUM(I7:I22)</f>
        <v>139786.25</v>
      </c>
      <c r="J23" s="599">
        <f>SUM(J7:J22)</f>
        <v>95150</v>
      </c>
      <c r="K23" s="599">
        <f t="shared" ref="K23" si="2">SUM(K7:K22)</f>
        <v>87680.53</v>
      </c>
      <c r="L23" s="600"/>
      <c r="M23" s="601"/>
      <c r="N23" s="602">
        <f t="shared" si="0"/>
        <v>3127.7</v>
      </c>
      <c r="O23" s="602">
        <f t="shared" si="0"/>
        <v>6601.7</v>
      </c>
      <c r="P23" s="603">
        <f>SUM(P7:P22)</f>
        <v>9612.2999999999993</v>
      </c>
      <c r="Q23" s="602">
        <f t="shared" si="0"/>
        <v>29508.1</v>
      </c>
      <c r="R23" s="602">
        <f t="shared" si="0"/>
        <v>47068</v>
      </c>
      <c r="S23" s="602">
        <f>SUM(S7:S22)</f>
        <v>50011.950000000004</v>
      </c>
      <c r="T23" s="602">
        <f t="shared" si="0"/>
        <v>53268.05</v>
      </c>
      <c r="U23" s="602">
        <f t="shared" ref="U23" si="3">SUM(U7:U22)</f>
        <v>53323.05</v>
      </c>
      <c r="V23" s="602">
        <f t="shared" si="0"/>
        <v>54912.15</v>
      </c>
      <c r="W23" s="602">
        <f t="shared" si="0"/>
        <v>77162.590000000011</v>
      </c>
      <c r="X23" s="602">
        <f t="shared" si="0"/>
        <v>90614.67</v>
      </c>
      <c r="Y23" s="602">
        <f t="shared" si="0"/>
        <v>92813.77</v>
      </c>
    </row>
    <row r="24" spans="1:25">
      <c r="A24" s="552" t="s">
        <v>678</v>
      </c>
      <c r="B24" s="552" t="s">
        <v>679</v>
      </c>
      <c r="C24" s="553" t="s">
        <v>30</v>
      </c>
      <c r="D24" s="604">
        <v>560000</v>
      </c>
      <c r="E24" s="605">
        <v>578722.64</v>
      </c>
      <c r="F24" s="606">
        <v>560000</v>
      </c>
      <c r="G24" s="607">
        <v>1044000</v>
      </c>
      <c r="H24" s="608">
        <v>1066613.68</v>
      </c>
      <c r="I24" s="609">
        <v>752600</v>
      </c>
      <c r="J24" s="610">
        <f>523021.18+530000</f>
        <v>1053021.18</v>
      </c>
      <c r="K24" s="611">
        <v>1047303.19</v>
      </c>
      <c r="L24" s="612"/>
      <c r="M24" s="611"/>
      <c r="N24" s="583">
        <v>155566.46</v>
      </c>
      <c r="O24" s="584">
        <v>460808.55</v>
      </c>
      <c r="P24" s="584">
        <v>511610.66</v>
      </c>
      <c r="Q24" s="613">
        <v>511882.66</v>
      </c>
      <c r="R24" s="614">
        <v>520532.16</v>
      </c>
      <c r="S24" s="614">
        <v>525362.19999999995</v>
      </c>
      <c r="T24" s="614">
        <v>527548.85</v>
      </c>
      <c r="U24" s="614">
        <v>527548.85</v>
      </c>
      <c r="V24" s="614">
        <v>528880.85</v>
      </c>
      <c r="W24" s="614">
        <v>529743.85</v>
      </c>
      <c r="X24" s="614">
        <v>529743.85</v>
      </c>
      <c r="Y24" s="614">
        <v>530792.35</v>
      </c>
    </row>
    <row r="25" spans="1:25">
      <c r="A25" s="552" t="s">
        <v>115</v>
      </c>
      <c r="B25" s="552" t="s">
        <v>117</v>
      </c>
      <c r="C25" s="553" t="s">
        <v>680</v>
      </c>
      <c r="D25" s="615">
        <v>0</v>
      </c>
      <c r="E25" s="616">
        <v>0</v>
      </c>
      <c r="F25" s="617">
        <v>0</v>
      </c>
      <c r="G25" s="557">
        <v>60000</v>
      </c>
      <c r="H25" s="618">
        <v>0</v>
      </c>
      <c r="I25" s="559">
        <v>0</v>
      </c>
      <c r="J25" s="560">
        <v>0</v>
      </c>
      <c r="K25" s="581">
        <v>0</v>
      </c>
      <c r="L25" s="582"/>
      <c r="M25" s="581"/>
      <c r="N25" s="583">
        <v>0</v>
      </c>
      <c r="O25" s="584">
        <v>0</v>
      </c>
      <c r="P25" s="584">
        <v>0</v>
      </c>
      <c r="Q25" s="583">
        <v>0</v>
      </c>
      <c r="R25" s="584">
        <v>0</v>
      </c>
      <c r="S25" s="584">
        <v>0</v>
      </c>
      <c r="T25" s="584">
        <v>0</v>
      </c>
      <c r="U25" s="584">
        <v>0</v>
      </c>
      <c r="V25" s="584">
        <v>0</v>
      </c>
      <c r="W25" s="614">
        <v>0</v>
      </c>
      <c r="X25" s="584">
        <v>0</v>
      </c>
      <c r="Y25" s="584">
        <v>0</v>
      </c>
    </row>
    <row r="26" spans="1:25">
      <c r="A26" s="552" t="s">
        <v>120</v>
      </c>
      <c r="B26" s="552" t="s">
        <v>119</v>
      </c>
      <c r="C26" s="553" t="s">
        <v>681</v>
      </c>
      <c r="D26" s="615">
        <v>195000</v>
      </c>
      <c r="E26" s="616">
        <v>195000</v>
      </c>
      <c r="F26" s="617">
        <v>195000</v>
      </c>
      <c r="G26" s="557">
        <v>0</v>
      </c>
      <c r="H26" s="618">
        <v>0</v>
      </c>
      <c r="I26" s="559">
        <v>0</v>
      </c>
      <c r="J26" s="560">
        <v>0</v>
      </c>
      <c r="K26" s="581">
        <v>0</v>
      </c>
      <c r="L26" s="582"/>
      <c r="M26" s="581"/>
      <c r="N26" s="583">
        <v>0</v>
      </c>
      <c r="O26" s="584">
        <v>0</v>
      </c>
      <c r="P26" s="584">
        <v>0</v>
      </c>
      <c r="Q26" s="583">
        <v>0</v>
      </c>
      <c r="R26" s="584">
        <v>0</v>
      </c>
      <c r="S26" s="584">
        <v>0</v>
      </c>
      <c r="T26" s="584">
        <v>0</v>
      </c>
      <c r="U26" s="584">
        <v>0</v>
      </c>
      <c r="V26" s="584">
        <v>0</v>
      </c>
      <c r="W26" s="614">
        <v>0</v>
      </c>
      <c r="X26" s="584">
        <v>0</v>
      </c>
      <c r="Y26" s="584">
        <v>0</v>
      </c>
    </row>
    <row r="27" spans="1:25">
      <c r="A27" s="552" t="s">
        <v>124</v>
      </c>
      <c r="B27" s="552" t="s">
        <v>126</v>
      </c>
      <c r="C27" s="553" t="s">
        <v>682</v>
      </c>
      <c r="D27" s="619">
        <v>600000</v>
      </c>
      <c r="E27" s="620">
        <v>625360.34</v>
      </c>
      <c r="F27" s="621">
        <v>600000</v>
      </c>
      <c r="G27" s="607">
        <v>285497.78000000003</v>
      </c>
      <c r="H27" s="622">
        <v>285497.78000000003</v>
      </c>
      <c r="I27" s="609">
        <v>689841.07</v>
      </c>
      <c r="J27" s="610">
        <v>689481.07</v>
      </c>
      <c r="K27" s="611">
        <v>689481.07</v>
      </c>
      <c r="L27" s="612"/>
      <c r="M27" s="611"/>
      <c r="N27" s="583">
        <v>807785.14</v>
      </c>
      <c r="O27" s="614">
        <v>807785.14</v>
      </c>
      <c r="P27" s="614">
        <v>807785.14</v>
      </c>
      <c r="Q27" s="613">
        <v>807785.14</v>
      </c>
      <c r="R27" s="614">
        <v>807785.14</v>
      </c>
      <c r="S27" s="614">
        <v>807785.14</v>
      </c>
      <c r="T27" s="614">
        <v>807785.14</v>
      </c>
      <c r="U27" s="614">
        <v>807785.14</v>
      </c>
      <c r="V27" s="614">
        <v>807785.14</v>
      </c>
      <c r="W27" s="614">
        <v>807785.14</v>
      </c>
      <c r="X27" s="614">
        <v>807785.14</v>
      </c>
      <c r="Y27" s="614">
        <v>807785.14</v>
      </c>
    </row>
    <row r="28" spans="1:25">
      <c r="A28" s="591"/>
      <c r="B28" s="592"/>
      <c r="C28" s="593" t="s">
        <v>683</v>
      </c>
      <c r="D28" s="594">
        <f t="shared" ref="D28:Y28" si="4">SUM(D24:D27)</f>
        <v>1355000</v>
      </c>
      <c r="E28" s="623">
        <f t="shared" si="4"/>
        <v>1399082.98</v>
      </c>
      <c r="F28" s="596">
        <f t="shared" si="4"/>
        <v>1355000</v>
      </c>
      <c r="G28" s="624">
        <f t="shared" si="4"/>
        <v>1389497.78</v>
      </c>
      <c r="H28" s="625">
        <f t="shared" ref="H28" si="5">SUM(H24:H27)</f>
        <v>1352111.46</v>
      </c>
      <c r="I28" s="626">
        <f t="shared" si="4"/>
        <v>1442441.0699999998</v>
      </c>
      <c r="J28" s="627">
        <f t="shared" ref="J28" si="6">SUM(J24:J27)</f>
        <v>1742502.25</v>
      </c>
      <c r="K28" s="628">
        <f t="shared" ref="K28" si="7">SUM(K24:K27)</f>
        <v>1736784.2599999998</v>
      </c>
      <c r="L28" s="629"/>
      <c r="M28" s="628"/>
      <c r="N28" s="602">
        <f t="shared" si="4"/>
        <v>963351.6</v>
      </c>
      <c r="O28" s="630">
        <f>SUM(O24:O27)</f>
        <v>1268593.69</v>
      </c>
      <c r="P28" s="630">
        <f t="shared" si="4"/>
        <v>1319395.8</v>
      </c>
      <c r="Q28" s="631">
        <f t="shared" si="4"/>
        <v>1319667.8</v>
      </c>
      <c r="R28" s="630">
        <f t="shared" si="4"/>
        <v>1328317.3</v>
      </c>
      <c r="S28" s="603">
        <f>SUM(S24:S27)</f>
        <v>1333147.3399999999</v>
      </c>
      <c r="T28" s="603">
        <f t="shared" si="4"/>
        <v>1335333.99</v>
      </c>
      <c r="U28" s="603">
        <f t="shared" ref="U28" si="8">SUM(U24:U27)</f>
        <v>1335333.99</v>
      </c>
      <c r="V28" s="630">
        <f t="shared" si="4"/>
        <v>1336665.99</v>
      </c>
      <c r="W28" s="630">
        <f t="shared" si="4"/>
        <v>1337528.99</v>
      </c>
      <c r="X28" s="632">
        <f t="shared" si="4"/>
        <v>1337528.99</v>
      </c>
      <c r="Y28" s="632">
        <f t="shared" si="4"/>
        <v>1338577.49</v>
      </c>
    </row>
    <row r="29" spans="1:25">
      <c r="A29" s="553"/>
      <c r="B29" s="633"/>
      <c r="C29" s="633"/>
      <c r="D29" s="615"/>
      <c r="E29" s="634"/>
      <c r="F29" s="617"/>
      <c r="G29" s="635"/>
      <c r="H29" s="636"/>
      <c r="I29" s="637"/>
      <c r="J29" s="638"/>
      <c r="K29" s="638"/>
      <c r="L29" s="562"/>
      <c r="M29" s="561"/>
      <c r="N29" s="563"/>
      <c r="O29" s="563"/>
      <c r="P29" s="564"/>
      <c r="Q29" s="563"/>
      <c r="R29" s="563"/>
      <c r="S29" s="563"/>
      <c r="T29" s="639"/>
      <c r="U29" s="639"/>
      <c r="V29" s="563"/>
      <c r="W29" s="563"/>
      <c r="X29" s="563"/>
      <c r="Y29" s="563"/>
    </row>
    <row r="30" spans="1:25">
      <c r="A30" s="591"/>
      <c r="B30" s="592"/>
      <c r="C30" s="593" t="s">
        <v>684</v>
      </c>
      <c r="D30" s="453">
        <f t="shared" ref="D30:Y30" si="9">D23+D28</f>
        <v>1480000</v>
      </c>
      <c r="E30" s="289">
        <f t="shared" si="9"/>
        <v>1500919.53</v>
      </c>
      <c r="F30" s="640">
        <f t="shared" si="9"/>
        <v>1480000</v>
      </c>
      <c r="G30" s="293">
        <f t="shared" si="9"/>
        <v>1568977.28</v>
      </c>
      <c r="H30" s="641">
        <f t="shared" si="9"/>
        <v>1433893.83</v>
      </c>
      <c r="I30" s="642">
        <f t="shared" si="9"/>
        <v>1582227.3199999998</v>
      </c>
      <c r="J30" s="458">
        <f t="shared" ref="J30:K30" si="10">J23+J28</f>
        <v>1837652.25</v>
      </c>
      <c r="K30" s="643">
        <f t="shared" si="10"/>
        <v>1824464.7899999998</v>
      </c>
      <c r="L30" s="644"/>
      <c r="M30" s="643"/>
      <c r="N30" s="459">
        <f t="shared" si="9"/>
        <v>966479.29999999993</v>
      </c>
      <c r="O30" s="645">
        <f t="shared" si="9"/>
        <v>1275195.3899999999</v>
      </c>
      <c r="P30" s="645">
        <f t="shared" si="9"/>
        <v>1329008.1000000001</v>
      </c>
      <c r="Q30" s="460">
        <f t="shared" si="9"/>
        <v>1349175.9000000001</v>
      </c>
      <c r="R30" s="645">
        <f t="shared" si="9"/>
        <v>1375385.3</v>
      </c>
      <c r="S30" s="646">
        <f>S23+S28</f>
        <v>1383159.2899999998</v>
      </c>
      <c r="T30" s="645">
        <f t="shared" si="9"/>
        <v>1388602.04</v>
      </c>
      <c r="U30" s="645">
        <f t="shared" ref="U30" si="11">U23+U28</f>
        <v>1388657.04</v>
      </c>
      <c r="V30" s="645">
        <f t="shared" si="9"/>
        <v>1391578.14</v>
      </c>
      <c r="W30" s="645">
        <f t="shared" si="9"/>
        <v>1414691.58</v>
      </c>
      <c r="X30" s="647">
        <f t="shared" si="9"/>
        <v>1428143.66</v>
      </c>
      <c r="Y30" s="647">
        <f t="shared" si="9"/>
        <v>1431391.26</v>
      </c>
    </row>
    <row r="31" spans="1:25">
      <c r="A31" s="648" t="s">
        <v>137</v>
      </c>
      <c r="B31" s="649"/>
      <c r="C31" s="650"/>
      <c r="D31" s="651"/>
      <c r="E31" s="652"/>
      <c r="F31" s="653"/>
      <c r="G31" s="652"/>
      <c r="H31" s="654"/>
      <c r="I31" s="655"/>
      <c r="J31" s="656"/>
      <c r="K31" s="656"/>
      <c r="L31" s="657"/>
      <c r="M31" s="658"/>
      <c r="N31" s="659"/>
      <c r="O31" s="659"/>
      <c r="P31" s="660"/>
      <c r="Q31" s="659"/>
      <c r="R31" s="659"/>
      <c r="S31" s="659"/>
      <c r="T31" s="659"/>
      <c r="U31" s="659"/>
      <c r="V31" s="659"/>
      <c r="W31" s="659"/>
      <c r="X31" s="659"/>
      <c r="Y31" s="659"/>
    </row>
    <row r="32" spans="1:25">
      <c r="A32" s="661" t="s">
        <v>142</v>
      </c>
      <c r="B32" s="661" t="s">
        <v>188</v>
      </c>
      <c r="C32" s="662" t="s">
        <v>685</v>
      </c>
      <c r="D32" s="663">
        <v>25000</v>
      </c>
      <c r="E32" s="664">
        <v>26775</v>
      </c>
      <c r="F32" s="665">
        <v>25000</v>
      </c>
      <c r="G32" s="666">
        <v>27000</v>
      </c>
      <c r="H32" s="667">
        <v>26512.5</v>
      </c>
      <c r="I32" s="668">
        <v>27000</v>
      </c>
      <c r="J32" s="669">
        <v>27000</v>
      </c>
      <c r="K32" s="670">
        <v>25200</v>
      </c>
      <c r="L32" s="671"/>
      <c r="M32" s="670"/>
      <c r="N32" s="672">
        <v>2100</v>
      </c>
      <c r="O32" s="673">
        <v>4025</v>
      </c>
      <c r="P32" s="673">
        <v>5950</v>
      </c>
      <c r="Q32" s="672">
        <v>7875</v>
      </c>
      <c r="R32" s="673">
        <v>9800</v>
      </c>
      <c r="S32" s="673">
        <v>11725</v>
      </c>
      <c r="T32" s="673">
        <v>15225</v>
      </c>
      <c r="U32" s="673">
        <v>15225</v>
      </c>
      <c r="V32" s="673">
        <v>16975</v>
      </c>
      <c r="W32" s="673">
        <v>18725</v>
      </c>
      <c r="X32" s="673">
        <v>20475</v>
      </c>
      <c r="Y32" s="673">
        <v>22225</v>
      </c>
    </row>
    <row r="33" spans="1:27">
      <c r="A33" s="661" t="s">
        <v>145</v>
      </c>
      <c r="B33" s="674" t="s">
        <v>686</v>
      </c>
      <c r="C33" s="662" t="s">
        <v>687</v>
      </c>
      <c r="D33" s="663">
        <v>30000</v>
      </c>
      <c r="E33" s="675">
        <v>15180</v>
      </c>
      <c r="F33" s="665">
        <v>30000</v>
      </c>
      <c r="G33" s="666">
        <v>30526</v>
      </c>
      <c r="H33" s="667">
        <v>15155</v>
      </c>
      <c r="I33" s="676">
        <v>26800</v>
      </c>
      <c r="J33" s="677">
        <v>20000</v>
      </c>
      <c r="K33" s="678">
        <v>16365</v>
      </c>
      <c r="L33" s="679"/>
      <c r="M33" s="678"/>
      <c r="N33" s="672">
        <v>1015</v>
      </c>
      <c r="O33" s="673">
        <v>2265</v>
      </c>
      <c r="P33" s="673">
        <v>2905</v>
      </c>
      <c r="Q33" s="672">
        <v>3665</v>
      </c>
      <c r="R33" s="673">
        <v>5200</v>
      </c>
      <c r="S33" s="673">
        <v>6400</v>
      </c>
      <c r="T33" s="673">
        <v>8650</v>
      </c>
      <c r="U33" s="673">
        <v>8715</v>
      </c>
      <c r="V33" s="680">
        <v>10025</v>
      </c>
      <c r="W33" s="680">
        <v>11145</v>
      </c>
      <c r="X33" s="680">
        <v>11940</v>
      </c>
      <c r="Y33" s="680">
        <v>13885</v>
      </c>
    </row>
    <row r="34" spans="1:27">
      <c r="A34" s="661" t="s">
        <v>148</v>
      </c>
      <c r="B34" s="661" t="s">
        <v>148</v>
      </c>
      <c r="C34" s="662" t="s">
        <v>688</v>
      </c>
      <c r="D34" s="663">
        <v>25000</v>
      </c>
      <c r="E34" s="675">
        <v>19640</v>
      </c>
      <c r="F34" s="665">
        <v>25000</v>
      </c>
      <c r="G34" s="666">
        <v>25000</v>
      </c>
      <c r="H34" s="667">
        <v>17870</v>
      </c>
      <c r="I34" s="668">
        <v>25000</v>
      </c>
      <c r="J34" s="681">
        <v>28000</v>
      </c>
      <c r="K34" s="678">
        <v>25880</v>
      </c>
      <c r="L34" s="679"/>
      <c r="M34" s="678"/>
      <c r="N34" s="672">
        <v>1350</v>
      </c>
      <c r="O34" s="673">
        <v>2230</v>
      </c>
      <c r="P34" s="673">
        <v>4460</v>
      </c>
      <c r="Q34" s="672">
        <v>7830</v>
      </c>
      <c r="R34" s="673">
        <v>8200</v>
      </c>
      <c r="S34" s="673">
        <v>10440</v>
      </c>
      <c r="T34" s="673">
        <v>13910</v>
      </c>
      <c r="U34" s="673">
        <v>13950</v>
      </c>
      <c r="V34" s="680">
        <v>16950</v>
      </c>
      <c r="W34" s="680">
        <v>18620</v>
      </c>
      <c r="X34" s="680">
        <v>19290</v>
      </c>
      <c r="Y34" s="680">
        <v>21080</v>
      </c>
    </row>
    <row r="35" spans="1:27">
      <c r="A35" s="661" t="s">
        <v>150</v>
      </c>
      <c r="B35" s="674" t="s">
        <v>689</v>
      </c>
      <c r="C35" s="662" t="s">
        <v>690</v>
      </c>
      <c r="D35" s="663">
        <v>500</v>
      </c>
      <c r="E35" s="675">
        <v>180</v>
      </c>
      <c r="F35" s="665">
        <v>500</v>
      </c>
      <c r="G35" s="666">
        <v>333</v>
      </c>
      <c r="H35" s="667">
        <v>272</v>
      </c>
      <c r="I35" s="668">
        <v>2566.66</v>
      </c>
      <c r="J35" s="669">
        <v>500</v>
      </c>
      <c r="K35" s="678">
        <v>775</v>
      </c>
      <c r="L35" s="679"/>
      <c r="M35" s="678"/>
      <c r="N35" s="672">
        <v>0</v>
      </c>
      <c r="O35" s="673">
        <v>0</v>
      </c>
      <c r="P35" s="673">
        <v>0</v>
      </c>
      <c r="Q35" s="672">
        <v>0</v>
      </c>
      <c r="R35" s="673">
        <v>0</v>
      </c>
      <c r="S35" s="673">
        <v>130</v>
      </c>
      <c r="T35" s="673">
        <v>545</v>
      </c>
      <c r="U35" s="673">
        <v>545</v>
      </c>
      <c r="V35" s="680">
        <v>625</v>
      </c>
      <c r="W35" s="680">
        <v>625</v>
      </c>
      <c r="X35" s="680">
        <v>625</v>
      </c>
      <c r="Y35" s="680">
        <v>665</v>
      </c>
    </row>
    <row r="36" spans="1:27">
      <c r="A36" s="661" t="s">
        <v>152</v>
      </c>
      <c r="B36" s="674" t="s">
        <v>686</v>
      </c>
      <c r="C36" s="662" t="s">
        <v>691</v>
      </c>
      <c r="D36" s="663">
        <v>13500</v>
      </c>
      <c r="E36" s="675">
        <v>10765</v>
      </c>
      <c r="F36" s="665">
        <v>13500</v>
      </c>
      <c r="G36" s="666">
        <v>26164</v>
      </c>
      <c r="H36" s="667">
        <v>8638</v>
      </c>
      <c r="I36" s="676">
        <v>25200</v>
      </c>
      <c r="J36" s="677">
        <v>17000</v>
      </c>
      <c r="K36" s="678">
        <v>6865</v>
      </c>
      <c r="L36" s="679"/>
      <c r="M36" s="678"/>
      <c r="N36" s="672">
        <v>515</v>
      </c>
      <c r="O36" s="673">
        <v>885</v>
      </c>
      <c r="P36" s="673">
        <v>2077</v>
      </c>
      <c r="Q36" s="672">
        <v>2557</v>
      </c>
      <c r="R36" s="673">
        <v>3187</v>
      </c>
      <c r="S36" s="673">
        <v>4007</v>
      </c>
      <c r="T36" s="673">
        <v>6120</v>
      </c>
      <c r="U36" s="673">
        <v>6145</v>
      </c>
      <c r="V36" s="680">
        <v>6730</v>
      </c>
      <c r="W36" s="680">
        <v>7470</v>
      </c>
      <c r="X36" s="680">
        <v>7950</v>
      </c>
      <c r="Y36" s="680">
        <v>8430</v>
      </c>
    </row>
    <row r="37" spans="1:27">
      <c r="A37" s="661" t="s">
        <v>692</v>
      </c>
      <c r="B37" s="674" t="s">
        <v>689</v>
      </c>
      <c r="C37" s="662" t="s">
        <v>693</v>
      </c>
      <c r="D37" s="663">
        <v>300</v>
      </c>
      <c r="E37" s="675">
        <v>0</v>
      </c>
      <c r="F37" s="665">
        <v>300</v>
      </c>
      <c r="G37" s="666">
        <v>333</v>
      </c>
      <c r="H37" s="667">
        <v>0</v>
      </c>
      <c r="I37" s="668">
        <v>2566.67</v>
      </c>
      <c r="J37" s="669">
        <v>500</v>
      </c>
      <c r="K37" s="678">
        <v>0</v>
      </c>
      <c r="L37" s="679"/>
      <c r="M37" s="678"/>
      <c r="N37" s="672">
        <v>0</v>
      </c>
      <c r="O37" s="673">
        <v>0</v>
      </c>
      <c r="P37" s="673">
        <v>0</v>
      </c>
      <c r="Q37" s="672">
        <v>0</v>
      </c>
      <c r="R37" s="673">
        <v>0</v>
      </c>
      <c r="S37" s="673">
        <v>0</v>
      </c>
      <c r="T37" s="673">
        <v>0</v>
      </c>
      <c r="U37" s="673">
        <v>0</v>
      </c>
      <c r="V37" s="680">
        <v>0</v>
      </c>
      <c r="W37" s="680">
        <v>0</v>
      </c>
      <c r="X37" s="680">
        <v>0</v>
      </c>
      <c r="Y37" s="680">
        <v>0</v>
      </c>
    </row>
    <row r="38" spans="1:27">
      <c r="A38" s="682" t="s">
        <v>694</v>
      </c>
      <c r="B38" s="682"/>
      <c r="C38" s="683" t="s">
        <v>695</v>
      </c>
      <c r="D38" s="684"/>
      <c r="E38" s="685"/>
      <c r="F38" s="686"/>
      <c r="G38" s="685"/>
      <c r="H38" s="687"/>
      <c r="I38" s="688"/>
      <c r="J38" s="689"/>
      <c r="K38" s="690"/>
      <c r="L38" s="691"/>
      <c r="M38" s="690"/>
      <c r="N38" s="692"/>
      <c r="O38" s="693"/>
      <c r="P38" s="693"/>
      <c r="Q38" s="692"/>
      <c r="R38" s="693"/>
      <c r="S38" s="693"/>
      <c r="T38" s="693"/>
      <c r="U38" s="693"/>
      <c r="V38" s="694"/>
      <c r="W38" s="694"/>
      <c r="X38" s="694"/>
      <c r="Y38" s="694"/>
    </row>
    <row r="39" spans="1:27">
      <c r="A39" s="682" t="s">
        <v>696</v>
      </c>
      <c r="B39" s="682"/>
      <c r="C39" s="683" t="s">
        <v>697</v>
      </c>
      <c r="D39" s="684"/>
      <c r="E39" s="685"/>
      <c r="F39" s="686"/>
      <c r="G39" s="685"/>
      <c r="H39" s="687"/>
      <c r="I39" s="688"/>
      <c r="J39" s="689"/>
      <c r="K39" s="690"/>
      <c r="L39" s="691"/>
      <c r="M39" s="690"/>
      <c r="N39" s="692"/>
      <c r="O39" s="693"/>
      <c r="P39" s="693"/>
      <c r="Q39" s="692"/>
      <c r="R39" s="693"/>
      <c r="S39" s="693"/>
      <c r="T39" s="693"/>
      <c r="U39" s="693"/>
      <c r="V39" s="694"/>
      <c r="W39" s="694"/>
      <c r="X39" s="694"/>
      <c r="Y39" s="694"/>
    </row>
    <row r="40" spans="1:27">
      <c r="A40" s="661" t="s">
        <v>183</v>
      </c>
      <c r="B40" s="661" t="s">
        <v>182</v>
      </c>
      <c r="C40" s="662" t="s">
        <v>698</v>
      </c>
      <c r="D40" s="663">
        <v>63000</v>
      </c>
      <c r="E40" s="664">
        <v>68187</v>
      </c>
      <c r="F40" s="665">
        <v>63000</v>
      </c>
      <c r="G40" s="666">
        <v>70000</v>
      </c>
      <c r="H40" s="667">
        <v>66757.8</v>
      </c>
      <c r="I40" s="668">
        <v>70000</v>
      </c>
      <c r="J40" s="669">
        <v>70000</v>
      </c>
      <c r="K40" s="678">
        <v>63244.800000000003</v>
      </c>
      <c r="L40" s="679"/>
      <c r="M40" s="678"/>
      <c r="N40" s="672">
        <v>5270.4</v>
      </c>
      <c r="O40" s="673">
        <v>10107</v>
      </c>
      <c r="P40" s="673">
        <v>14943.6</v>
      </c>
      <c r="Q40" s="672">
        <v>19780.2</v>
      </c>
      <c r="R40" s="673">
        <v>24616.799999999999</v>
      </c>
      <c r="S40" s="673">
        <v>29453.4</v>
      </c>
      <c r="T40" s="673">
        <v>38259</v>
      </c>
      <c r="U40" s="673">
        <v>38259</v>
      </c>
      <c r="V40" s="680">
        <v>42661.8</v>
      </c>
      <c r="W40" s="680">
        <v>47064.6</v>
      </c>
      <c r="X40" s="680">
        <v>51467.4</v>
      </c>
      <c r="Y40" s="680">
        <v>55870.2</v>
      </c>
    </row>
    <row r="41" spans="1:27">
      <c r="A41" s="661" t="s">
        <v>186</v>
      </c>
      <c r="B41" s="661" t="s">
        <v>185</v>
      </c>
      <c r="C41" s="662" t="s">
        <v>699</v>
      </c>
      <c r="D41" s="663">
        <v>19000</v>
      </c>
      <c r="E41" s="664">
        <v>21331.89</v>
      </c>
      <c r="F41" s="665">
        <v>19000</v>
      </c>
      <c r="G41" s="666">
        <v>18000</v>
      </c>
      <c r="H41" s="667">
        <v>19458.599999999999</v>
      </c>
      <c r="I41" s="668">
        <v>18000</v>
      </c>
      <c r="J41" s="669">
        <v>18000</v>
      </c>
      <c r="K41" s="678">
        <v>18342.72</v>
      </c>
      <c r="L41" s="679"/>
      <c r="M41" s="678"/>
      <c r="N41" s="672">
        <v>1528.56</v>
      </c>
      <c r="O41" s="673">
        <v>2904.84</v>
      </c>
      <c r="P41" s="673">
        <v>4281.12</v>
      </c>
      <c r="Q41" s="672">
        <v>5656.41</v>
      </c>
      <c r="R41" s="673">
        <v>7031.7</v>
      </c>
      <c r="S41" s="673">
        <v>8406.99</v>
      </c>
      <c r="T41" s="673">
        <v>9630.09</v>
      </c>
      <c r="U41" s="673">
        <v>10853.19</v>
      </c>
      <c r="V41" s="680">
        <v>12076.29</v>
      </c>
      <c r="W41" s="680">
        <v>13299.39</v>
      </c>
      <c r="X41" s="680">
        <v>14522.49</v>
      </c>
      <c r="Y41" s="680">
        <v>15745.59</v>
      </c>
    </row>
    <row r="42" spans="1:27">
      <c r="A42" s="661" t="s">
        <v>700</v>
      </c>
      <c r="B42" s="661" t="s">
        <v>220</v>
      </c>
      <c r="C42" s="662" t="s">
        <v>701</v>
      </c>
      <c r="D42" s="663">
        <v>200</v>
      </c>
      <c r="E42" s="675">
        <v>0</v>
      </c>
      <c r="F42" s="665">
        <v>200</v>
      </c>
      <c r="G42" s="666">
        <v>140</v>
      </c>
      <c r="H42" s="667">
        <v>0</v>
      </c>
      <c r="I42" s="668">
        <v>140</v>
      </c>
      <c r="J42" s="669">
        <v>40</v>
      </c>
      <c r="K42" s="678">
        <v>0</v>
      </c>
      <c r="L42" s="679"/>
      <c r="M42" s="678"/>
      <c r="N42" s="672">
        <v>0</v>
      </c>
      <c r="O42" s="673">
        <v>0</v>
      </c>
      <c r="P42" s="673">
        <v>0</v>
      </c>
      <c r="Q42" s="672">
        <v>0</v>
      </c>
      <c r="R42" s="673">
        <v>0</v>
      </c>
      <c r="S42" s="673">
        <v>0</v>
      </c>
      <c r="T42" s="673">
        <v>0</v>
      </c>
      <c r="U42" s="673">
        <v>0</v>
      </c>
      <c r="V42" s="680">
        <v>0</v>
      </c>
      <c r="W42" s="680">
        <v>0</v>
      </c>
      <c r="X42" s="680">
        <v>0</v>
      </c>
      <c r="Y42" s="680">
        <v>0</v>
      </c>
    </row>
    <row r="43" spans="1:27">
      <c r="A43" s="661" t="s">
        <v>191</v>
      </c>
      <c r="B43" s="661" t="s">
        <v>190</v>
      </c>
      <c r="C43" s="662" t="s">
        <v>192</v>
      </c>
      <c r="D43" s="663">
        <v>185</v>
      </c>
      <c r="E43" s="664">
        <v>191.51</v>
      </c>
      <c r="F43" s="665">
        <v>185</v>
      </c>
      <c r="G43" s="666">
        <v>200</v>
      </c>
      <c r="H43" s="695">
        <v>225.3</v>
      </c>
      <c r="I43" s="668">
        <v>200</v>
      </c>
      <c r="J43" s="669">
        <v>228.62</v>
      </c>
      <c r="K43" s="678">
        <v>228.62</v>
      </c>
      <c r="L43" s="679"/>
      <c r="M43" s="678"/>
      <c r="N43" s="672">
        <v>0</v>
      </c>
      <c r="O43" s="673">
        <v>0</v>
      </c>
      <c r="P43" s="673">
        <v>0</v>
      </c>
      <c r="Q43" s="672">
        <v>0</v>
      </c>
      <c r="R43" s="673">
        <v>0</v>
      </c>
      <c r="S43" s="673">
        <v>0</v>
      </c>
      <c r="T43" s="673">
        <v>184.99</v>
      </c>
      <c r="U43" s="680">
        <v>184.99</v>
      </c>
      <c r="V43" s="680">
        <v>184.99</v>
      </c>
      <c r="W43" s="680">
        <v>184.99</v>
      </c>
      <c r="X43" s="680">
        <v>184.99</v>
      </c>
      <c r="Y43" s="680">
        <v>184.99</v>
      </c>
    </row>
    <row r="44" spans="1:27" s="76" customFormat="1">
      <c r="A44" s="682" t="s">
        <v>702</v>
      </c>
      <c r="B44" s="682"/>
      <c r="C44" s="683" t="s">
        <v>703</v>
      </c>
      <c r="D44" s="684"/>
      <c r="E44" s="696"/>
      <c r="F44" s="686"/>
      <c r="G44" s="696"/>
      <c r="H44" s="697"/>
      <c r="I44" s="698"/>
      <c r="J44" s="699"/>
      <c r="K44" s="700"/>
      <c r="L44" s="701"/>
      <c r="M44" s="700"/>
      <c r="N44" s="702"/>
      <c r="O44" s="703"/>
      <c r="P44" s="703"/>
      <c r="Q44" s="702"/>
      <c r="R44" s="703"/>
      <c r="S44" s="703"/>
      <c r="T44" s="703"/>
      <c r="U44" s="703"/>
      <c r="V44" s="704"/>
      <c r="W44" s="704"/>
      <c r="X44" s="704"/>
      <c r="Y44" s="704"/>
      <c r="Z44" s="74"/>
      <c r="AA44" s="75"/>
    </row>
    <row r="45" spans="1:27">
      <c r="A45" s="661" t="s">
        <v>704</v>
      </c>
      <c r="B45" s="674" t="s">
        <v>705</v>
      </c>
      <c r="C45" s="662" t="s">
        <v>706</v>
      </c>
      <c r="D45" s="663">
        <v>92500</v>
      </c>
      <c r="E45" s="675">
        <v>90530.79</v>
      </c>
      <c r="F45" s="665">
        <v>92500</v>
      </c>
      <c r="G45" s="666">
        <v>102000</v>
      </c>
      <c r="H45" s="667">
        <v>93878.16</v>
      </c>
      <c r="I45" s="668">
        <v>118000</v>
      </c>
      <c r="J45" s="669">
        <v>118000</v>
      </c>
      <c r="K45" s="678">
        <v>109366.09</v>
      </c>
      <c r="L45" s="679"/>
      <c r="M45" s="678"/>
      <c r="N45" s="705">
        <v>8455.43</v>
      </c>
      <c r="O45" s="680">
        <v>21622.53</v>
      </c>
      <c r="P45" s="680">
        <v>30090.79</v>
      </c>
      <c r="Q45" s="705">
        <v>38435.17</v>
      </c>
      <c r="R45" s="680">
        <v>47235.07</v>
      </c>
      <c r="S45" s="680">
        <v>56000.72</v>
      </c>
      <c r="T45" s="680">
        <v>73532.02</v>
      </c>
      <c r="U45" s="680">
        <v>73528.490000000005</v>
      </c>
      <c r="V45" s="680">
        <v>82290.61</v>
      </c>
      <c r="W45" s="680">
        <v>91052.73</v>
      </c>
      <c r="X45" s="680">
        <v>99814.85</v>
      </c>
      <c r="Y45" s="680">
        <v>108576.97</v>
      </c>
    </row>
    <row r="46" spans="1:27">
      <c r="A46" s="661" t="s">
        <v>199</v>
      </c>
      <c r="B46" s="661" t="s">
        <v>198</v>
      </c>
      <c r="C46" s="662" t="s">
        <v>707</v>
      </c>
      <c r="D46" s="663">
        <v>26000</v>
      </c>
      <c r="E46" s="675">
        <v>20905.61</v>
      </c>
      <c r="F46" s="665">
        <v>26000</v>
      </c>
      <c r="G46" s="666">
        <v>28000</v>
      </c>
      <c r="H46" s="667">
        <v>25672.59</v>
      </c>
      <c r="I46" s="668">
        <v>26000</v>
      </c>
      <c r="J46" s="669">
        <v>32000</v>
      </c>
      <c r="K46" s="678">
        <v>30289.4</v>
      </c>
      <c r="L46" s="679"/>
      <c r="M46" s="678"/>
      <c r="N46" s="705">
        <v>2238.4899999999998</v>
      </c>
      <c r="O46" s="680">
        <v>9728.6200000000008</v>
      </c>
      <c r="P46" s="680">
        <v>11998.13</v>
      </c>
      <c r="Q46" s="705">
        <v>14387.95</v>
      </c>
      <c r="R46" s="680">
        <v>16931.509999999998</v>
      </c>
      <c r="S46" s="680">
        <v>19509.32</v>
      </c>
      <c r="T46" s="680">
        <v>22087.13</v>
      </c>
      <c r="U46" s="680">
        <v>24662.61</v>
      </c>
      <c r="V46" s="680">
        <v>27238.09</v>
      </c>
      <c r="W46" s="680">
        <v>29813.57</v>
      </c>
      <c r="X46" s="680">
        <v>32389.05</v>
      </c>
      <c r="Y46" s="680">
        <v>34964.53</v>
      </c>
    </row>
    <row r="47" spans="1:27">
      <c r="A47" s="661" t="s">
        <v>708</v>
      </c>
      <c r="B47" s="661" t="s">
        <v>201</v>
      </c>
      <c r="C47" s="662" t="s">
        <v>709</v>
      </c>
      <c r="D47" s="663">
        <v>73000</v>
      </c>
      <c r="E47" s="675">
        <v>63085.8</v>
      </c>
      <c r="F47" s="665">
        <v>73000</v>
      </c>
      <c r="G47" s="666">
        <v>75000</v>
      </c>
      <c r="H47" s="667">
        <v>64594.26</v>
      </c>
      <c r="I47" s="676">
        <v>77000</v>
      </c>
      <c r="J47" s="677">
        <v>74000</v>
      </c>
      <c r="K47" s="678">
        <v>72516.45</v>
      </c>
      <c r="L47" s="679"/>
      <c r="M47" s="678"/>
      <c r="N47" s="705">
        <v>5734.95</v>
      </c>
      <c r="O47" s="680">
        <v>16122.44</v>
      </c>
      <c r="P47" s="680">
        <v>22179.82</v>
      </c>
      <c r="Q47" s="705">
        <v>28412.45</v>
      </c>
      <c r="R47" s="680">
        <v>34941.72</v>
      </c>
      <c r="S47" s="680">
        <v>41470.99</v>
      </c>
      <c r="T47" s="680">
        <v>48000.26</v>
      </c>
      <c r="U47" s="680">
        <v>54541.25</v>
      </c>
      <c r="V47" s="680">
        <v>61082.239999999998</v>
      </c>
      <c r="W47" s="680">
        <v>67623.23</v>
      </c>
      <c r="X47" s="680">
        <v>74164.22</v>
      </c>
      <c r="Y47" s="680">
        <v>80705.210000000006</v>
      </c>
    </row>
    <row r="48" spans="1:27">
      <c r="A48" s="661" t="s">
        <v>205</v>
      </c>
      <c r="B48" s="661" t="s">
        <v>204</v>
      </c>
      <c r="C48" s="662" t="s">
        <v>710</v>
      </c>
      <c r="D48" s="663">
        <v>14500</v>
      </c>
      <c r="E48" s="675">
        <v>12261.25</v>
      </c>
      <c r="F48" s="665">
        <v>14500</v>
      </c>
      <c r="G48" s="666">
        <v>15000</v>
      </c>
      <c r="H48" s="667">
        <v>11668.73</v>
      </c>
      <c r="I48" s="668">
        <v>15000</v>
      </c>
      <c r="J48" s="669">
        <v>12500</v>
      </c>
      <c r="K48" s="678">
        <v>12339.4</v>
      </c>
      <c r="L48" s="679"/>
      <c r="M48" s="678"/>
      <c r="N48" s="705">
        <v>975.79</v>
      </c>
      <c r="O48" s="680">
        <v>2723.95</v>
      </c>
      <c r="P48" s="680">
        <v>3746.6</v>
      </c>
      <c r="Q48" s="705">
        <v>4772.03</v>
      </c>
      <c r="R48" s="680">
        <v>5853.86</v>
      </c>
      <c r="S48" s="680">
        <v>6935.69</v>
      </c>
      <c r="T48" s="680">
        <v>8017.52</v>
      </c>
      <c r="U48" s="680">
        <v>9099.35</v>
      </c>
      <c r="V48" s="680">
        <v>10181.18</v>
      </c>
      <c r="W48" s="680">
        <v>11263.01</v>
      </c>
      <c r="X48" s="680">
        <v>12344.84</v>
      </c>
      <c r="Y48" s="680">
        <v>13426.67</v>
      </c>
    </row>
    <row r="49" spans="1:27">
      <c r="A49" s="661" t="s">
        <v>711</v>
      </c>
      <c r="B49" s="661" t="s">
        <v>220</v>
      </c>
      <c r="C49" s="662" t="s">
        <v>712</v>
      </c>
      <c r="D49" s="663">
        <v>200</v>
      </c>
      <c r="E49" s="675">
        <v>0</v>
      </c>
      <c r="F49" s="665">
        <v>200</v>
      </c>
      <c r="G49" s="666">
        <v>140</v>
      </c>
      <c r="H49" s="667">
        <v>0</v>
      </c>
      <c r="I49" s="668">
        <v>140</v>
      </c>
      <c r="J49" s="669">
        <v>40</v>
      </c>
      <c r="K49" s="678">
        <v>0</v>
      </c>
      <c r="L49" s="679"/>
      <c r="M49" s="678"/>
      <c r="N49" s="705">
        <v>0</v>
      </c>
      <c r="O49" s="680">
        <v>0</v>
      </c>
      <c r="P49" s="680">
        <v>0</v>
      </c>
      <c r="Q49" s="705">
        <v>0</v>
      </c>
      <c r="R49" s="680">
        <v>0</v>
      </c>
      <c r="S49" s="680">
        <v>0</v>
      </c>
      <c r="T49" s="680">
        <v>0</v>
      </c>
      <c r="U49" s="680">
        <v>0</v>
      </c>
      <c r="V49" s="680">
        <v>0</v>
      </c>
      <c r="W49" s="680">
        <v>0</v>
      </c>
      <c r="X49" s="680">
        <v>12</v>
      </c>
      <c r="Y49" s="680">
        <v>12</v>
      </c>
    </row>
    <row r="50" spans="1:27">
      <c r="A50" s="661" t="s">
        <v>208</v>
      </c>
      <c r="B50" s="661" t="s">
        <v>207</v>
      </c>
      <c r="C50" s="662" t="s">
        <v>209</v>
      </c>
      <c r="D50" s="663">
        <v>500</v>
      </c>
      <c r="E50" s="675">
        <v>457.09</v>
      </c>
      <c r="F50" s="665">
        <v>500</v>
      </c>
      <c r="G50" s="666">
        <v>495</v>
      </c>
      <c r="H50" s="667">
        <v>471.7</v>
      </c>
      <c r="I50" s="668">
        <v>495</v>
      </c>
      <c r="J50" s="669">
        <v>584.96</v>
      </c>
      <c r="K50" s="678">
        <v>584.96</v>
      </c>
      <c r="L50" s="679"/>
      <c r="M50" s="678"/>
      <c r="N50" s="705">
        <v>0</v>
      </c>
      <c r="O50" s="680">
        <v>0</v>
      </c>
      <c r="P50" s="680">
        <v>0</v>
      </c>
      <c r="Q50" s="705">
        <v>0</v>
      </c>
      <c r="R50" s="680">
        <v>0</v>
      </c>
      <c r="S50" s="680">
        <v>0</v>
      </c>
      <c r="T50" s="680">
        <v>514.05999999999995</v>
      </c>
      <c r="U50" s="680">
        <v>514.05999999999995</v>
      </c>
      <c r="V50" s="680">
        <v>514.05999999999995</v>
      </c>
      <c r="W50" s="680">
        <v>514.05999999999995</v>
      </c>
      <c r="X50" s="680">
        <v>514.05999999999995</v>
      </c>
      <c r="Y50" s="680">
        <v>514.05999999999995</v>
      </c>
    </row>
    <row r="51" spans="1:27" s="76" customFormat="1">
      <c r="A51" s="682" t="s">
        <v>713</v>
      </c>
      <c r="B51" s="682"/>
      <c r="C51" s="683" t="s">
        <v>714</v>
      </c>
      <c r="D51" s="684"/>
      <c r="E51" s="696"/>
      <c r="F51" s="686"/>
      <c r="G51" s="696"/>
      <c r="H51" s="697"/>
      <c r="I51" s="698"/>
      <c r="J51" s="699"/>
      <c r="K51" s="700"/>
      <c r="L51" s="701"/>
      <c r="M51" s="700"/>
      <c r="N51" s="702"/>
      <c r="O51" s="703"/>
      <c r="P51" s="703"/>
      <c r="Q51" s="702"/>
      <c r="R51" s="703"/>
      <c r="S51" s="703"/>
      <c r="T51" s="703"/>
      <c r="U51" s="703"/>
      <c r="V51" s="704"/>
      <c r="W51" s="704"/>
      <c r="X51" s="704"/>
      <c r="Y51" s="704"/>
      <c r="Z51" s="74"/>
      <c r="AA51" s="75"/>
    </row>
    <row r="52" spans="1:27">
      <c r="A52" s="661" t="s">
        <v>715</v>
      </c>
      <c r="B52" s="661" t="s">
        <v>195</v>
      </c>
      <c r="C52" s="662" t="s">
        <v>716</v>
      </c>
      <c r="D52" s="663">
        <v>0</v>
      </c>
      <c r="E52" s="675">
        <v>0</v>
      </c>
      <c r="F52" s="665">
        <v>0</v>
      </c>
      <c r="G52" s="666">
        <v>0</v>
      </c>
      <c r="H52" s="667">
        <v>0</v>
      </c>
      <c r="I52" s="668">
        <v>0</v>
      </c>
      <c r="J52" s="669">
        <v>0</v>
      </c>
      <c r="K52" s="678">
        <v>0</v>
      </c>
      <c r="L52" s="679"/>
      <c r="M52" s="678"/>
      <c r="N52" s="672">
        <v>0</v>
      </c>
      <c r="O52" s="673">
        <v>0</v>
      </c>
      <c r="P52" s="673">
        <v>0</v>
      </c>
      <c r="Q52" s="672">
        <v>0</v>
      </c>
      <c r="R52" s="673">
        <v>0</v>
      </c>
      <c r="S52" s="673">
        <v>0</v>
      </c>
      <c r="T52" s="673">
        <v>0</v>
      </c>
      <c r="U52" s="673">
        <v>0</v>
      </c>
      <c r="V52" s="680">
        <v>0</v>
      </c>
      <c r="W52" s="680">
        <v>0</v>
      </c>
      <c r="X52" s="680">
        <v>0</v>
      </c>
      <c r="Y52" s="680">
        <v>0</v>
      </c>
    </row>
    <row r="53" spans="1:27">
      <c r="A53" s="661" t="s">
        <v>717</v>
      </c>
      <c r="B53" s="661" t="s">
        <v>201</v>
      </c>
      <c r="C53" s="662" t="s">
        <v>718</v>
      </c>
      <c r="D53" s="663">
        <v>0</v>
      </c>
      <c r="E53" s="675">
        <v>0</v>
      </c>
      <c r="F53" s="665">
        <v>0</v>
      </c>
      <c r="G53" s="666">
        <v>0</v>
      </c>
      <c r="H53" s="667">
        <v>0</v>
      </c>
      <c r="I53" s="668">
        <v>0</v>
      </c>
      <c r="J53" s="669">
        <v>0</v>
      </c>
      <c r="K53" s="678">
        <v>0</v>
      </c>
      <c r="L53" s="679"/>
      <c r="M53" s="678"/>
      <c r="N53" s="672">
        <v>0</v>
      </c>
      <c r="O53" s="673">
        <v>0</v>
      </c>
      <c r="P53" s="673">
        <v>0</v>
      </c>
      <c r="Q53" s="672">
        <v>0</v>
      </c>
      <c r="R53" s="673">
        <v>0</v>
      </c>
      <c r="S53" s="673">
        <v>0</v>
      </c>
      <c r="T53" s="673">
        <v>0</v>
      </c>
      <c r="U53" s="673">
        <v>0</v>
      </c>
      <c r="V53" s="680">
        <v>0</v>
      </c>
      <c r="W53" s="680">
        <v>0</v>
      </c>
      <c r="X53" s="680">
        <v>0</v>
      </c>
      <c r="Y53" s="680">
        <v>0</v>
      </c>
    </row>
    <row r="54" spans="1:27">
      <c r="A54" s="706" t="s">
        <v>193</v>
      </c>
      <c r="B54" s="706"/>
      <c r="C54" s="707" t="s">
        <v>719</v>
      </c>
      <c r="D54" s="684">
        <v>0</v>
      </c>
      <c r="E54" s="685">
        <v>0</v>
      </c>
      <c r="F54" s="686">
        <v>0</v>
      </c>
      <c r="G54" s="666">
        <v>0</v>
      </c>
      <c r="H54" s="687">
        <v>0</v>
      </c>
      <c r="I54" s="668">
        <v>0</v>
      </c>
      <c r="J54" s="669">
        <v>0</v>
      </c>
      <c r="K54" s="690">
        <v>0</v>
      </c>
      <c r="L54" s="691"/>
      <c r="M54" s="690"/>
      <c r="N54" s="692">
        <v>0</v>
      </c>
      <c r="O54" s="693">
        <v>0</v>
      </c>
      <c r="P54" s="693">
        <v>0</v>
      </c>
      <c r="Q54" s="692">
        <v>0</v>
      </c>
      <c r="R54" s="693">
        <v>0</v>
      </c>
      <c r="S54" s="693">
        <v>0</v>
      </c>
      <c r="T54" s="693">
        <v>0</v>
      </c>
      <c r="U54" s="693">
        <v>0</v>
      </c>
      <c r="V54" s="694">
        <v>0</v>
      </c>
      <c r="W54" s="694">
        <v>0</v>
      </c>
      <c r="X54" s="694">
        <v>0</v>
      </c>
      <c r="Y54" s="694">
        <v>0</v>
      </c>
    </row>
    <row r="55" spans="1:27">
      <c r="A55" s="77"/>
      <c r="B55" s="77"/>
      <c r="C55" s="78" t="s">
        <v>720</v>
      </c>
      <c r="D55" s="651">
        <f t="shared" ref="D55:I55" si="12">SUM(D32:D54)</f>
        <v>383385</v>
      </c>
      <c r="E55" s="708">
        <f t="shared" si="12"/>
        <v>349490.94</v>
      </c>
      <c r="F55" s="653">
        <f t="shared" si="12"/>
        <v>383385</v>
      </c>
      <c r="G55" s="708">
        <f t="shared" si="12"/>
        <v>418331</v>
      </c>
      <c r="H55" s="709">
        <f t="shared" ref="H55" si="13">SUM(H32:H54)</f>
        <v>351174.64</v>
      </c>
      <c r="I55" s="710">
        <f t="shared" si="12"/>
        <v>434108.33</v>
      </c>
      <c r="J55" s="711">
        <f t="shared" ref="J55:K55" si="14">SUM(J32:J54)</f>
        <v>418393.58</v>
      </c>
      <c r="K55" s="712">
        <f t="shared" si="14"/>
        <v>381997.44000000006</v>
      </c>
      <c r="L55" s="713"/>
      <c r="M55" s="712"/>
      <c r="N55" s="714">
        <f t="shared" ref="N55:Y55" si="15">SUM(N32:N54)</f>
        <v>29183.62</v>
      </c>
      <c r="O55" s="715">
        <f t="shared" si="15"/>
        <v>72614.37999999999</v>
      </c>
      <c r="P55" s="715">
        <f t="shared" si="15"/>
        <v>102632.06</v>
      </c>
      <c r="Q55" s="714">
        <f t="shared" si="15"/>
        <v>133371.21</v>
      </c>
      <c r="R55" s="715">
        <f t="shared" si="15"/>
        <v>162997.65999999997</v>
      </c>
      <c r="S55" s="715">
        <f t="shared" si="15"/>
        <v>194479.11</v>
      </c>
      <c r="T55" s="715">
        <f t="shared" si="15"/>
        <v>244675.07</v>
      </c>
      <c r="U55" s="715">
        <f t="shared" ref="U55" si="16">SUM(U32:U54)</f>
        <v>256222.94000000003</v>
      </c>
      <c r="V55" s="715">
        <f t="shared" si="15"/>
        <v>287534.26</v>
      </c>
      <c r="W55" s="715">
        <f t="shared" si="15"/>
        <v>317400.58</v>
      </c>
      <c r="X55" s="715">
        <f t="shared" si="15"/>
        <v>345693.9</v>
      </c>
      <c r="Y55" s="715">
        <f t="shared" si="15"/>
        <v>376285.22000000003</v>
      </c>
    </row>
    <row r="56" spans="1:27" s="76" customFormat="1">
      <c r="A56" s="682" t="s">
        <v>721</v>
      </c>
      <c r="B56" s="682"/>
      <c r="C56" s="707" t="s">
        <v>722</v>
      </c>
      <c r="D56" s="684"/>
      <c r="E56" s="716"/>
      <c r="F56" s="686"/>
      <c r="G56" s="716"/>
      <c r="H56" s="717"/>
      <c r="I56" s="718"/>
      <c r="J56" s="719"/>
      <c r="K56" s="720"/>
      <c r="L56" s="721"/>
      <c r="M56" s="720"/>
      <c r="N56" s="702"/>
      <c r="O56" s="703"/>
      <c r="P56" s="703"/>
      <c r="Q56" s="702"/>
      <c r="R56" s="703"/>
      <c r="S56" s="703"/>
      <c r="T56" s="703"/>
      <c r="U56" s="703"/>
      <c r="V56" s="703"/>
      <c r="W56" s="703"/>
      <c r="X56" s="703"/>
      <c r="Y56" s="703"/>
      <c r="Z56" s="74"/>
      <c r="AA56" s="75"/>
    </row>
    <row r="57" spans="1:27">
      <c r="A57" s="661" t="s">
        <v>227</v>
      </c>
      <c r="B57" s="661" t="s">
        <v>230</v>
      </c>
      <c r="C57" s="662" t="s">
        <v>723</v>
      </c>
      <c r="D57" s="663">
        <v>300</v>
      </c>
      <c r="E57" s="675">
        <v>73.260000000000005</v>
      </c>
      <c r="F57" s="665">
        <v>300</v>
      </c>
      <c r="G57" s="666">
        <v>500</v>
      </c>
      <c r="H57" s="667">
        <v>279.81</v>
      </c>
      <c r="I57" s="668">
        <v>750</v>
      </c>
      <c r="J57" s="669">
        <v>750</v>
      </c>
      <c r="K57" s="678">
        <v>193.8</v>
      </c>
      <c r="L57" s="679"/>
      <c r="M57" s="678"/>
      <c r="N57" s="672">
        <v>0</v>
      </c>
      <c r="O57" s="680">
        <v>2.2799999999999998</v>
      </c>
      <c r="P57" s="680">
        <v>2.2799999999999998</v>
      </c>
      <c r="Q57" s="705">
        <v>12.26</v>
      </c>
      <c r="R57" s="680">
        <v>12.26</v>
      </c>
      <c r="S57" s="680">
        <v>12.26</v>
      </c>
      <c r="T57" s="680">
        <v>17.25</v>
      </c>
      <c r="U57" s="680">
        <v>17.25</v>
      </c>
      <c r="V57" s="680">
        <v>17.25</v>
      </c>
      <c r="W57" s="680">
        <v>17.25</v>
      </c>
      <c r="X57" s="680">
        <v>17.25</v>
      </c>
      <c r="Y57" s="680">
        <v>17.25</v>
      </c>
    </row>
    <row r="58" spans="1:27">
      <c r="A58" s="661" t="s">
        <v>237</v>
      </c>
      <c r="B58" s="661" t="s">
        <v>236</v>
      </c>
      <c r="C58" s="662" t="s">
        <v>724</v>
      </c>
      <c r="D58" s="663">
        <v>600</v>
      </c>
      <c r="E58" s="664">
        <v>1915.76</v>
      </c>
      <c r="F58" s="665">
        <v>600</v>
      </c>
      <c r="G58" s="666">
        <v>1200</v>
      </c>
      <c r="H58" s="667">
        <v>672.6</v>
      </c>
      <c r="I58" s="668">
        <v>800</v>
      </c>
      <c r="J58" s="669">
        <v>700</v>
      </c>
      <c r="K58" s="678">
        <v>675</v>
      </c>
      <c r="L58" s="679"/>
      <c r="M58" s="678"/>
      <c r="N58" s="672">
        <v>49.9</v>
      </c>
      <c r="O58" s="680">
        <v>349.8</v>
      </c>
      <c r="P58" s="680">
        <v>404.7</v>
      </c>
      <c r="Q58" s="705">
        <v>489.8</v>
      </c>
      <c r="R58" s="680">
        <v>566.70000000000005</v>
      </c>
      <c r="S58" s="680">
        <v>624.70000000000005</v>
      </c>
      <c r="T58" s="680">
        <v>679.6</v>
      </c>
      <c r="U58" s="680">
        <v>734.5</v>
      </c>
      <c r="V58" s="680">
        <v>789.4</v>
      </c>
      <c r="W58" s="680">
        <v>876</v>
      </c>
      <c r="X58" s="680">
        <v>942.6</v>
      </c>
      <c r="Y58" s="680">
        <v>1000.8</v>
      </c>
    </row>
    <row r="59" spans="1:27">
      <c r="A59" s="661" t="s">
        <v>725</v>
      </c>
      <c r="B59" s="661" t="s">
        <v>227</v>
      </c>
      <c r="C59" s="662" t="s">
        <v>726</v>
      </c>
      <c r="D59" s="663">
        <v>75</v>
      </c>
      <c r="E59" s="675">
        <v>74.02</v>
      </c>
      <c r="F59" s="665">
        <v>75</v>
      </c>
      <c r="G59" s="666">
        <v>500</v>
      </c>
      <c r="H59" s="667">
        <v>73.44</v>
      </c>
      <c r="I59" s="668">
        <v>750</v>
      </c>
      <c r="J59" s="669">
        <v>750</v>
      </c>
      <c r="K59" s="678">
        <v>73.44</v>
      </c>
      <c r="L59" s="679"/>
      <c r="M59" s="678"/>
      <c r="N59" s="672">
        <v>0</v>
      </c>
      <c r="O59" s="680">
        <v>18.36</v>
      </c>
      <c r="P59" s="680">
        <v>18.36</v>
      </c>
      <c r="Q59" s="705">
        <v>18.36</v>
      </c>
      <c r="R59" s="680">
        <v>36.72</v>
      </c>
      <c r="S59" s="680">
        <v>36.72</v>
      </c>
      <c r="T59" s="680">
        <v>36.72</v>
      </c>
      <c r="U59" s="680">
        <v>55.08</v>
      </c>
      <c r="V59" s="680">
        <v>55.08</v>
      </c>
      <c r="W59" s="680">
        <v>55.08</v>
      </c>
      <c r="X59" s="680">
        <v>73.44</v>
      </c>
      <c r="Y59" s="680">
        <v>73.44</v>
      </c>
    </row>
    <row r="60" spans="1:27">
      <c r="A60" s="661" t="s">
        <v>727</v>
      </c>
      <c r="B60" s="661" t="s">
        <v>245</v>
      </c>
      <c r="C60" s="662" t="s">
        <v>728</v>
      </c>
      <c r="D60" s="663">
        <v>0</v>
      </c>
      <c r="E60" s="675">
        <v>0</v>
      </c>
      <c r="F60" s="665">
        <v>0</v>
      </c>
      <c r="G60" s="666">
        <v>50</v>
      </c>
      <c r="H60" s="667">
        <v>0</v>
      </c>
      <c r="I60" s="668">
        <v>150</v>
      </c>
      <c r="J60" s="669">
        <v>150</v>
      </c>
      <c r="K60" s="678">
        <v>0</v>
      </c>
      <c r="L60" s="679"/>
      <c r="M60" s="678"/>
      <c r="N60" s="672">
        <v>0</v>
      </c>
      <c r="O60" s="680">
        <v>0</v>
      </c>
      <c r="P60" s="680">
        <v>0</v>
      </c>
      <c r="Q60" s="705">
        <v>0</v>
      </c>
      <c r="R60" s="680">
        <v>0</v>
      </c>
      <c r="S60" s="680">
        <v>0</v>
      </c>
      <c r="T60" s="680">
        <v>0</v>
      </c>
      <c r="U60" s="680">
        <v>0</v>
      </c>
      <c r="V60" s="680">
        <v>0</v>
      </c>
      <c r="W60" s="680">
        <v>0</v>
      </c>
      <c r="X60" s="680">
        <v>0</v>
      </c>
      <c r="Y60" s="680">
        <v>0</v>
      </c>
    </row>
    <row r="61" spans="1:27">
      <c r="A61" s="661" t="s">
        <v>729</v>
      </c>
      <c r="B61" s="661" t="s">
        <v>227</v>
      </c>
      <c r="C61" s="662" t="s">
        <v>730</v>
      </c>
      <c r="D61" s="663">
        <v>1000</v>
      </c>
      <c r="E61" s="675">
        <v>388.44</v>
      </c>
      <c r="F61" s="665">
        <v>1000</v>
      </c>
      <c r="G61" s="666">
        <v>1400</v>
      </c>
      <c r="H61" s="667">
        <v>1354.96</v>
      </c>
      <c r="I61" s="668">
        <v>750</v>
      </c>
      <c r="J61" s="669">
        <v>750</v>
      </c>
      <c r="K61" s="678">
        <v>720.51</v>
      </c>
      <c r="L61" s="679"/>
      <c r="M61" s="678"/>
      <c r="N61" s="672">
        <v>445.53</v>
      </c>
      <c r="O61" s="680">
        <v>630.28</v>
      </c>
      <c r="P61" s="680">
        <v>9588.83</v>
      </c>
      <c r="Q61" s="705">
        <v>10992.71</v>
      </c>
      <c r="R61" s="680">
        <v>12335.95</v>
      </c>
      <c r="S61" s="680">
        <v>19373.189999999999</v>
      </c>
      <c r="T61" s="680">
        <v>22059.67</v>
      </c>
      <c r="U61" s="680">
        <v>22059.67</v>
      </c>
      <c r="V61" s="680">
        <v>23402.91</v>
      </c>
      <c r="W61" s="680">
        <v>25147.09</v>
      </c>
      <c r="X61" s="680">
        <v>26490.33</v>
      </c>
      <c r="Y61" s="680">
        <v>29817.11</v>
      </c>
    </row>
    <row r="62" spans="1:27">
      <c r="A62" s="661" t="s">
        <v>731</v>
      </c>
      <c r="B62" s="661" t="s">
        <v>230</v>
      </c>
      <c r="C62" s="662" t="s">
        <v>732</v>
      </c>
      <c r="D62" s="663">
        <v>250</v>
      </c>
      <c r="E62" s="675">
        <v>249.58</v>
      </c>
      <c r="F62" s="665">
        <v>250</v>
      </c>
      <c r="G62" s="666">
        <v>500</v>
      </c>
      <c r="H62" s="695">
        <v>651.98</v>
      </c>
      <c r="I62" s="668">
        <v>750</v>
      </c>
      <c r="J62" s="669">
        <v>750</v>
      </c>
      <c r="K62" s="678">
        <v>237.8</v>
      </c>
      <c r="L62" s="679"/>
      <c r="M62" s="678"/>
      <c r="N62" s="672">
        <v>41.95</v>
      </c>
      <c r="O62" s="680">
        <v>155.84</v>
      </c>
      <c r="P62" s="680">
        <v>155.84</v>
      </c>
      <c r="Q62" s="705">
        <v>197.79</v>
      </c>
      <c r="R62" s="680">
        <v>197.79</v>
      </c>
      <c r="S62" s="680">
        <v>239.74</v>
      </c>
      <c r="T62" s="680">
        <v>239.74</v>
      </c>
      <c r="U62" s="680">
        <v>239.74</v>
      </c>
      <c r="V62" s="680">
        <v>239.74</v>
      </c>
      <c r="W62" s="680">
        <v>283.64</v>
      </c>
      <c r="X62" s="680">
        <v>471.64</v>
      </c>
      <c r="Y62" s="680">
        <v>515.54</v>
      </c>
    </row>
    <row r="63" spans="1:27">
      <c r="A63" s="661" t="s">
        <v>733</v>
      </c>
      <c r="B63" s="661" t="s">
        <v>245</v>
      </c>
      <c r="C63" s="662" t="s">
        <v>734</v>
      </c>
      <c r="D63" s="663">
        <v>100</v>
      </c>
      <c r="E63" s="675">
        <v>0</v>
      </c>
      <c r="F63" s="665">
        <v>100</v>
      </c>
      <c r="G63" s="666">
        <v>50</v>
      </c>
      <c r="H63" s="695">
        <v>111.45</v>
      </c>
      <c r="I63" s="668">
        <v>150</v>
      </c>
      <c r="J63" s="669">
        <v>150</v>
      </c>
      <c r="K63" s="678">
        <v>172.25</v>
      </c>
      <c r="L63" s="679"/>
      <c r="M63" s="678"/>
      <c r="N63" s="672">
        <v>0</v>
      </c>
      <c r="O63" s="680">
        <v>0</v>
      </c>
      <c r="P63" s="680">
        <v>0</v>
      </c>
      <c r="Q63" s="705">
        <v>0</v>
      </c>
      <c r="R63" s="680">
        <v>0</v>
      </c>
      <c r="S63" s="680">
        <v>0</v>
      </c>
      <c r="T63" s="680">
        <v>0</v>
      </c>
      <c r="U63" s="680">
        <v>0</v>
      </c>
      <c r="V63" s="680">
        <v>21.55</v>
      </c>
      <c r="W63" s="680">
        <v>21.55</v>
      </c>
      <c r="X63" s="680">
        <v>21.55</v>
      </c>
      <c r="Y63" s="680">
        <v>21.55</v>
      </c>
    </row>
    <row r="64" spans="1:27">
      <c r="A64" s="661" t="s">
        <v>234</v>
      </c>
      <c r="B64" s="661" t="s">
        <v>233</v>
      </c>
      <c r="C64" s="662" t="s">
        <v>735</v>
      </c>
      <c r="D64" s="663">
        <v>350</v>
      </c>
      <c r="E64" s="675">
        <v>332.2</v>
      </c>
      <c r="F64" s="665">
        <v>350</v>
      </c>
      <c r="G64" s="666">
        <v>602.28</v>
      </c>
      <c r="H64" s="667">
        <v>267.55</v>
      </c>
      <c r="I64" s="668">
        <v>535</v>
      </c>
      <c r="J64" s="669">
        <v>300</v>
      </c>
      <c r="K64" s="678">
        <v>119.05</v>
      </c>
      <c r="L64" s="679"/>
      <c r="M64" s="678"/>
      <c r="N64" s="672">
        <v>10.49</v>
      </c>
      <c r="O64" s="680">
        <v>10.49</v>
      </c>
      <c r="P64" s="680">
        <v>95.49</v>
      </c>
      <c r="Q64" s="705">
        <v>95.49</v>
      </c>
      <c r="R64" s="680">
        <v>95.49</v>
      </c>
      <c r="S64" s="680">
        <v>256.14999999999998</v>
      </c>
      <c r="T64" s="680">
        <v>256.14999999999998</v>
      </c>
      <c r="U64" s="680">
        <v>256.14999999999998</v>
      </c>
      <c r="V64" s="680">
        <v>256.14999999999998</v>
      </c>
      <c r="W64" s="680">
        <v>256.14999999999998</v>
      </c>
      <c r="X64" s="680">
        <v>256.14999999999998</v>
      </c>
      <c r="Y64" s="680">
        <v>256.14999999999998</v>
      </c>
    </row>
    <row r="65" spans="1:27" s="76" customFormat="1">
      <c r="A65" s="682" t="s">
        <v>736</v>
      </c>
      <c r="B65" s="682"/>
      <c r="C65" s="683" t="s">
        <v>737</v>
      </c>
      <c r="D65" s="684"/>
      <c r="E65" s="685"/>
      <c r="F65" s="686"/>
      <c r="G65" s="696"/>
      <c r="H65" s="687"/>
      <c r="I65" s="698"/>
      <c r="J65" s="699"/>
      <c r="K65" s="690"/>
      <c r="L65" s="691"/>
      <c r="M65" s="690"/>
      <c r="N65" s="702"/>
      <c r="O65" s="704"/>
      <c r="P65" s="704"/>
      <c r="Q65" s="722"/>
      <c r="R65" s="704"/>
      <c r="S65" s="704"/>
      <c r="T65" s="704"/>
      <c r="U65" s="704"/>
      <c r="V65" s="704"/>
      <c r="W65" s="704"/>
      <c r="X65" s="694"/>
      <c r="Y65" s="694"/>
      <c r="Z65" s="74"/>
      <c r="AA65" s="75"/>
    </row>
    <row r="66" spans="1:27">
      <c r="A66" s="661" t="s">
        <v>738</v>
      </c>
      <c r="B66" s="661" t="s">
        <v>239</v>
      </c>
      <c r="C66" s="662" t="s">
        <v>739</v>
      </c>
      <c r="D66" s="663">
        <v>300</v>
      </c>
      <c r="E66" s="675">
        <v>166.95</v>
      </c>
      <c r="F66" s="665">
        <v>300</v>
      </c>
      <c r="G66" s="666">
        <v>400</v>
      </c>
      <c r="H66" s="667">
        <v>120.79</v>
      </c>
      <c r="I66" s="668">
        <v>400</v>
      </c>
      <c r="J66" s="669">
        <v>350</v>
      </c>
      <c r="K66" s="678">
        <v>176.18</v>
      </c>
      <c r="L66" s="679"/>
      <c r="M66" s="678"/>
      <c r="N66" s="705">
        <v>216.76</v>
      </c>
      <c r="O66" s="680">
        <v>384.4</v>
      </c>
      <c r="P66" s="680">
        <v>543.1</v>
      </c>
      <c r="Q66" s="705">
        <v>725.83</v>
      </c>
      <c r="R66" s="680">
        <v>930.78</v>
      </c>
      <c r="S66" s="680">
        <v>1111.58</v>
      </c>
      <c r="T66" s="680">
        <v>1294.07</v>
      </c>
      <c r="U66" s="680">
        <v>1478.91</v>
      </c>
      <c r="V66" s="680">
        <v>1649.5</v>
      </c>
      <c r="W66" s="680">
        <v>1818.46</v>
      </c>
      <c r="X66" s="680">
        <v>2009.53</v>
      </c>
      <c r="Y66" s="680">
        <v>2178.94</v>
      </c>
    </row>
    <row r="67" spans="1:27">
      <c r="A67" s="661" t="s">
        <v>740</v>
      </c>
      <c r="B67" s="661" t="s">
        <v>239</v>
      </c>
      <c r="C67" s="662" t="s">
        <v>741</v>
      </c>
      <c r="D67" s="663">
        <v>400</v>
      </c>
      <c r="E67" s="664">
        <v>481.83</v>
      </c>
      <c r="F67" s="665">
        <v>400</v>
      </c>
      <c r="G67" s="666">
        <v>400</v>
      </c>
      <c r="H67" s="695">
        <v>571.08000000000004</v>
      </c>
      <c r="I67" s="668">
        <v>400</v>
      </c>
      <c r="J67" s="669">
        <v>350</v>
      </c>
      <c r="K67" s="678">
        <v>571.08000000000004</v>
      </c>
      <c r="L67" s="679"/>
      <c r="M67" s="678"/>
      <c r="N67" s="705">
        <v>47.59</v>
      </c>
      <c r="O67" s="680">
        <v>95.18</v>
      </c>
      <c r="P67" s="680">
        <v>142.77000000000001</v>
      </c>
      <c r="Q67" s="705">
        <v>190.36</v>
      </c>
      <c r="R67" s="680">
        <v>237.95</v>
      </c>
      <c r="S67" s="680">
        <v>285.54000000000002</v>
      </c>
      <c r="T67" s="680">
        <v>380.72</v>
      </c>
      <c r="U67" s="680">
        <v>380.72</v>
      </c>
      <c r="V67" s="680">
        <v>428.31</v>
      </c>
      <c r="W67" s="680">
        <v>475.9</v>
      </c>
      <c r="X67" s="680">
        <v>523.49</v>
      </c>
      <c r="Y67" s="680">
        <v>571.08000000000004</v>
      </c>
    </row>
    <row r="68" spans="1:27">
      <c r="A68" s="661" t="s">
        <v>742</v>
      </c>
      <c r="B68" s="661" t="s">
        <v>248</v>
      </c>
      <c r="C68" s="662" t="s">
        <v>743</v>
      </c>
      <c r="D68" s="663">
        <v>500</v>
      </c>
      <c r="E68" s="664">
        <v>711.24</v>
      </c>
      <c r="F68" s="665">
        <v>500</v>
      </c>
      <c r="G68" s="666">
        <v>4770</v>
      </c>
      <c r="H68" s="695">
        <v>716.99</v>
      </c>
      <c r="I68" s="668">
        <v>4470</v>
      </c>
      <c r="J68" s="669">
        <v>4470</v>
      </c>
      <c r="K68" s="678">
        <v>661.11</v>
      </c>
      <c r="L68" s="679"/>
      <c r="M68" s="678"/>
      <c r="N68" s="705">
        <v>48.27</v>
      </c>
      <c r="O68" s="680">
        <v>108.42</v>
      </c>
      <c r="P68" s="680">
        <v>595.92999999999995</v>
      </c>
      <c r="Q68" s="705">
        <v>1083.44</v>
      </c>
      <c r="R68" s="680">
        <v>1570.95</v>
      </c>
      <c r="S68" s="680">
        <v>2121.66</v>
      </c>
      <c r="T68" s="680">
        <v>3062.02</v>
      </c>
      <c r="U68" s="680">
        <v>3110.64</v>
      </c>
      <c r="V68" s="680">
        <v>3617.51</v>
      </c>
      <c r="W68" s="680">
        <v>4112.5</v>
      </c>
      <c r="X68" s="680">
        <v>4607.49</v>
      </c>
      <c r="Y68" s="680">
        <v>5159.2</v>
      </c>
    </row>
    <row r="69" spans="1:27">
      <c r="A69" s="661" t="s">
        <v>243</v>
      </c>
      <c r="B69" s="661" t="s">
        <v>242</v>
      </c>
      <c r="C69" s="662" t="s">
        <v>744</v>
      </c>
      <c r="D69" s="663">
        <v>3500</v>
      </c>
      <c r="E69" s="675">
        <v>2552.9699999999998</v>
      </c>
      <c r="F69" s="665">
        <v>3500</v>
      </c>
      <c r="G69" s="666">
        <v>4080</v>
      </c>
      <c r="H69" s="667">
        <v>3744.7</v>
      </c>
      <c r="I69" s="668">
        <v>5300</v>
      </c>
      <c r="J69" s="669">
        <v>5000</v>
      </c>
      <c r="K69" s="678">
        <v>4126.5</v>
      </c>
      <c r="L69" s="679"/>
      <c r="M69" s="678"/>
      <c r="N69" s="705">
        <v>877.91</v>
      </c>
      <c r="O69" s="680">
        <v>1439.81</v>
      </c>
      <c r="P69" s="680">
        <v>1963.73</v>
      </c>
      <c r="Q69" s="705">
        <v>2487.65</v>
      </c>
      <c r="R69" s="680">
        <v>3011.57</v>
      </c>
      <c r="S69" s="680">
        <v>3535.49</v>
      </c>
      <c r="T69" s="680">
        <v>4583.33</v>
      </c>
      <c r="U69" s="680">
        <v>4583.33</v>
      </c>
      <c r="V69" s="680">
        <v>5107.25</v>
      </c>
      <c r="W69" s="680">
        <v>5631.17</v>
      </c>
      <c r="X69" s="680">
        <v>6155.09</v>
      </c>
      <c r="Y69" s="680">
        <v>7656.52</v>
      </c>
    </row>
    <row r="70" spans="1:27" s="76" customFormat="1">
      <c r="A70" s="682" t="s">
        <v>745</v>
      </c>
      <c r="B70" s="682"/>
      <c r="C70" s="683" t="s">
        <v>746</v>
      </c>
      <c r="D70" s="684"/>
      <c r="E70" s="685"/>
      <c r="F70" s="686"/>
      <c r="G70" s="696"/>
      <c r="H70" s="687"/>
      <c r="I70" s="698"/>
      <c r="J70" s="699"/>
      <c r="K70" s="690"/>
      <c r="L70" s="691"/>
      <c r="M70" s="690"/>
      <c r="N70" s="702"/>
      <c r="O70" s="704"/>
      <c r="P70" s="704"/>
      <c r="Q70" s="722"/>
      <c r="R70" s="704"/>
      <c r="S70" s="704"/>
      <c r="T70" s="704"/>
      <c r="U70" s="704"/>
      <c r="V70" s="704"/>
      <c r="W70" s="704"/>
      <c r="X70" s="694"/>
      <c r="Y70" s="694"/>
      <c r="Z70" s="74"/>
      <c r="AA70" s="75"/>
    </row>
    <row r="71" spans="1:27">
      <c r="A71" s="661" t="s">
        <v>257</v>
      </c>
      <c r="B71" s="661" t="s">
        <v>256</v>
      </c>
      <c r="C71" s="662" t="s">
        <v>747</v>
      </c>
      <c r="D71" s="663">
        <v>500</v>
      </c>
      <c r="E71" s="675">
        <v>2053.25</v>
      </c>
      <c r="F71" s="665">
        <v>500</v>
      </c>
      <c r="G71" s="666">
        <v>5500</v>
      </c>
      <c r="H71" s="667">
        <v>2562.21</v>
      </c>
      <c r="I71" s="668">
        <v>5500</v>
      </c>
      <c r="J71" s="669">
        <v>12000</v>
      </c>
      <c r="K71" s="678">
        <v>1020.6</v>
      </c>
      <c r="L71" s="679"/>
      <c r="M71" s="678"/>
      <c r="N71" s="672">
        <v>261.89999999999998</v>
      </c>
      <c r="O71" s="680">
        <v>1988.64</v>
      </c>
      <c r="P71" s="680">
        <v>4401.41</v>
      </c>
      <c r="Q71" s="705">
        <v>4939.1099999999997</v>
      </c>
      <c r="R71" s="680">
        <v>5075.1000000000004</v>
      </c>
      <c r="S71" s="680">
        <v>5075.1000000000004</v>
      </c>
      <c r="T71" s="680">
        <v>5122.2700000000004</v>
      </c>
      <c r="U71" s="680">
        <v>5122.2700000000004</v>
      </c>
      <c r="V71" s="680">
        <v>5122.2700000000004</v>
      </c>
      <c r="W71" s="680">
        <v>5251.15</v>
      </c>
      <c r="X71" s="680">
        <v>5380.15</v>
      </c>
      <c r="Y71" s="680">
        <v>5729.56</v>
      </c>
    </row>
    <row r="72" spans="1:27">
      <c r="A72" s="661" t="s">
        <v>748</v>
      </c>
      <c r="B72" s="661" t="s">
        <v>253</v>
      </c>
      <c r="C72" s="662" t="s">
        <v>749</v>
      </c>
      <c r="D72" s="663">
        <v>500</v>
      </c>
      <c r="E72" s="675">
        <v>0</v>
      </c>
      <c r="F72" s="665">
        <v>500</v>
      </c>
      <c r="G72" s="666">
        <v>6000</v>
      </c>
      <c r="H72" s="667">
        <v>0</v>
      </c>
      <c r="I72" s="668">
        <v>4000</v>
      </c>
      <c r="J72" s="669">
        <v>6000</v>
      </c>
      <c r="K72" s="678">
        <v>8159.85</v>
      </c>
      <c r="L72" s="679"/>
      <c r="M72" s="678"/>
      <c r="N72" s="672">
        <v>0</v>
      </c>
      <c r="O72" s="680">
        <v>904.36</v>
      </c>
      <c r="P72" s="680">
        <v>904.36</v>
      </c>
      <c r="Q72" s="705">
        <v>2506.7199999999998</v>
      </c>
      <c r="R72" s="680">
        <v>2506.7199999999998</v>
      </c>
      <c r="S72" s="680">
        <v>2506.7199999999998</v>
      </c>
      <c r="T72" s="680">
        <v>2506.7199999999998</v>
      </c>
      <c r="U72" s="680">
        <v>2506.7199999999998</v>
      </c>
      <c r="V72" s="680">
        <v>2506.7199999999998</v>
      </c>
      <c r="W72" s="680">
        <v>2506.7199999999998</v>
      </c>
      <c r="X72" s="680">
        <v>2506.7199999999998</v>
      </c>
      <c r="Y72" s="680">
        <v>2506.7199999999998</v>
      </c>
    </row>
    <row r="73" spans="1:27">
      <c r="A73" s="661" t="s">
        <v>750</v>
      </c>
      <c r="B73" s="661" t="s">
        <v>253</v>
      </c>
      <c r="C73" s="662" t="s">
        <v>751</v>
      </c>
      <c r="D73" s="663">
        <v>200</v>
      </c>
      <c r="E73" s="675">
        <v>0</v>
      </c>
      <c r="F73" s="665">
        <v>200</v>
      </c>
      <c r="G73" s="666">
        <v>1000</v>
      </c>
      <c r="H73" s="667">
        <v>0</v>
      </c>
      <c r="I73" s="668">
        <v>4000</v>
      </c>
      <c r="J73" s="669">
        <v>6000</v>
      </c>
      <c r="K73" s="678">
        <v>1221.96</v>
      </c>
      <c r="L73" s="679"/>
      <c r="M73" s="678"/>
      <c r="N73" s="672">
        <v>0</v>
      </c>
      <c r="O73" s="680">
        <v>0</v>
      </c>
      <c r="P73" s="680">
        <v>0</v>
      </c>
      <c r="Q73" s="705">
        <v>0</v>
      </c>
      <c r="R73" s="680">
        <v>0</v>
      </c>
      <c r="S73" s="680">
        <v>0</v>
      </c>
      <c r="T73" s="680">
        <v>0</v>
      </c>
      <c r="U73" s="680">
        <v>0</v>
      </c>
      <c r="V73" s="680">
        <v>0</v>
      </c>
      <c r="W73" s="680">
        <v>0</v>
      </c>
      <c r="X73" s="680">
        <v>0</v>
      </c>
      <c r="Y73" s="680">
        <v>0</v>
      </c>
    </row>
    <row r="74" spans="1:27" s="76" customFormat="1">
      <c r="A74" s="682" t="s">
        <v>752</v>
      </c>
      <c r="B74" s="682"/>
      <c r="C74" s="683" t="s">
        <v>753</v>
      </c>
      <c r="D74" s="684"/>
      <c r="E74" s="685"/>
      <c r="F74" s="686"/>
      <c r="G74" s="696"/>
      <c r="H74" s="687"/>
      <c r="I74" s="698"/>
      <c r="J74" s="699"/>
      <c r="K74" s="690"/>
      <c r="L74" s="691"/>
      <c r="M74" s="690"/>
      <c r="N74" s="702"/>
      <c r="O74" s="704"/>
      <c r="P74" s="704"/>
      <c r="Q74" s="722"/>
      <c r="R74" s="704"/>
      <c r="S74" s="704"/>
      <c r="T74" s="704"/>
      <c r="U74" s="704"/>
      <c r="V74" s="704"/>
      <c r="W74" s="704"/>
      <c r="X74" s="694"/>
      <c r="Y74" s="694"/>
      <c r="Z74" s="74"/>
      <c r="AA74" s="75"/>
    </row>
    <row r="75" spans="1:27">
      <c r="A75" s="661" t="s">
        <v>754</v>
      </c>
      <c r="B75" s="674" t="s">
        <v>755</v>
      </c>
      <c r="C75" s="662" t="s">
        <v>756</v>
      </c>
      <c r="D75" s="663">
        <v>14000</v>
      </c>
      <c r="E75" s="664">
        <v>14427.94</v>
      </c>
      <c r="F75" s="665">
        <v>14000</v>
      </c>
      <c r="G75" s="666">
        <v>14430</v>
      </c>
      <c r="H75" s="667">
        <v>13626.47</v>
      </c>
      <c r="I75" s="668">
        <f>51322.8+2980</f>
        <v>54302.8</v>
      </c>
      <c r="J75" s="669">
        <v>14980</v>
      </c>
      <c r="K75" s="678">
        <v>15602.01</v>
      </c>
      <c r="L75" s="679"/>
      <c r="M75" s="678"/>
      <c r="N75" s="705">
        <v>1699.88</v>
      </c>
      <c r="O75" s="680">
        <v>2101.9299999999998</v>
      </c>
      <c r="P75" s="680">
        <v>2696.93</v>
      </c>
      <c r="Q75" s="705">
        <v>3589.43</v>
      </c>
      <c r="R75" s="680">
        <v>3812.56</v>
      </c>
      <c r="S75" s="680">
        <v>4035.69</v>
      </c>
      <c r="T75" s="680">
        <v>4667.88</v>
      </c>
      <c r="U75" s="680">
        <v>4667.88</v>
      </c>
      <c r="V75" s="680">
        <v>6188.5</v>
      </c>
      <c r="W75" s="680">
        <v>6932.25</v>
      </c>
      <c r="X75" s="680">
        <v>7341.31</v>
      </c>
      <c r="Y75" s="680">
        <v>9535.3700000000008</v>
      </c>
    </row>
    <row r="76" spans="1:27">
      <c r="A76" s="661" t="s">
        <v>260</v>
      </c>
      <c r="B76" s="661" t="s">
        <v>259</v>
      </c>
      <c r="C76" s="662" t="s">
        <v>757</v>
      </c>
      <c r="D76" s="663">
        <v>500</v>
      </c>
      <c r="E76" s="675">
        <v>125.85</v>
      </c>
      <c r="F76" s="665">
        <v>500</v>
      </c>
      <c r="G76" s="666">
        <v>500</v>
      </c>
      <c r="H76" s="667">
        <v>209.75</v>
      </c>
      <c r="I76" s="668">
        <v>500</v>
      </c>
      <c r="J76" s="669">
        <v>2000</v>
      </c>
      <c r="K76" s="678">
        <v>2659.36</v>
      </c>
      <c r="L76" s="679"/>
      <c r="M76" s="678"/>
      <c r="N76" s="705">
        <v>41.95</v>
      </c>
      <c r="O76" s="680">
        <v>41.95</v>
      </c>
      <c r="P76" s="680">
        <v>41.95</v>
      </c>
      <c r="Q76" s="705">
        <v>83.9</v>
      </c>
      <c r="R76" s="680">
        <v>420.27</v>
      </c>
      <c r="S76" s="680">
        <v>462.22</v>
      </c>
      <c r="T76" s="680">
        <v>462.22</v>
      </c>
      <c r="U76" s="680">
        <v>462.22</v>
      </c>
      <c r="V76" s="680">
        <v>462.22</v>
      </c>
      <c r="W76" s="680">
        <v>506.13</v>
      </c>
      <c r="X76" s="680">
        <v>506.13</v>
      </c>
      <c r="Y76" s="680">
        <v>550.04</v>
      </c>
    </row>
    <row r="77" spans="1:27">
      <c r="A77" s="661" t="s">
        <v>758</v>
      </c>
      <c r="B77" s="674" t="s">
        <v>759</v>
      </c>
      <c r="C77" s="662" t="s">
        <v>760</v>
      </c>
      <c r="D77" s="663">
        <v>500</v>
      </c>
      <c r="E77" s="675">
        <v>207.16</v>
      </c>
      <c r="F77" s="665">
        <v>500</v>
      </c>
      <c r="G77" s="666">
        <v>8000</v>
      </c>
      <c r="H77" s="667">
        <v>394.4</v>
      </c>
      <c r="I77" s="668">
        <f>34215.2+55000</f>
        <v>89215.2</v>
      </c>
      <c r="J77" s="669">
        <v>8000</v>
      </c>
      <c r="K77" s="678">
        <v>2321.9699999999998</v>
      </c>
      <c r="L77" s="679"/>
      <c r="M77" s="678"/>
      <c r="N77" s="705">
        <v>3461.71</v>
      </c>
      <c r="O77" s="680">
        <v>5220.1099999999997</v>
      </c>
      <c r="P77" s="680">
        <v>5277.86</v>
      </c>
      <c r="Q77" s="705">
        <v>5606.66</v>
      </c>
      <c r="R77" s="680">
        <v>5803.01</v>
      </c>
      <c r="S77" s="680">
        <v>6048.03</v>
      </c>
      <c r="T77" s="680">
        <v>8129.77</v>
      </c>
      <c r="U77" s="680">
        <v>8169.6</v>
      </c>
      <c r="V77" s="680">
        <v>8367.5300000000007</v>
      </c>
      <c r="W77" s="680">
        <v>10020.02</v>
      </c>
      <c r="X77" s="680">
        <v>10433.07</v>
      </c>
      <c r="Y77" s="680">
        <v>10869.33</v>
      </c>
    </row>
    <row r="78" spans="1:27" s="76" customFormat="1">
      <c r="A78" s="682" t="s">
        <v>761</v>
      </c>
      <c r="B78" s="682"/>
      <c r="C78" s="683" t="s">
        <v>762</v>
      </c>
      <c r="D78" s="684"/>
      <c r="E78" s="685"/>
      <c r="F78" s="686"/>
      <c r="G78" s="696"/>
      <c r="H78" s="687"/>
      <c r="I78" s="698"/>
      <c r="J78" s="699"/>
      <c r="K78" s="690"/>
      <c r="L78" s="691"/>
      <c r="M78" s="690"/>
      <c r="N78" s="702"/>
      <c r="O78" s="704"/>
      <c r="P78" s="704"/>
      <c r="Q78" s="722"/>
      <c r="R78" s="704"/>
      <c r="S78" s="704"/>
      <c r="T78" s="704"/>
      <c r="U78" s="704"/>
      <c r="V78" s="704"/>
      <c r="W78" s="704"/>
      <c r="X78" s="694"/>
      <c r="Y78" s="694"/>
      <c r="Z78" s="74"/>
      <c r="AA78" s="75"/>
    </row>
    <row r="79" spans="1:27">
      <c r="A79" s="661" t="s">
        <v>763</v>
      </c>
      <c r="B79" s="661" t="s">
        <v>227</v>
      </c>
      <c r="C79" s="662" t="s">
        <v>764</v>
      </c>
      <c r="D79" s="663">
        <v>500</v>
      </c>
      <c r="E79" s="675">
        <v>490.89</v>
      </c>
      <c r="F79" s="665">
        <v>500</v>
      </c>
      <c r="G79" s="666">
        <v>500</v>
      </c>
      <c r="H79" s="667">
        <v>490.89</v>
      </c>
      <c r="I79" s="668">
        <v>750</v>
      </c>
      <c r="J79" s="669">
        <v>750</v>
      </c>
      <c r="K79" s="678">
        <v>515.41</v>
      </c>
      <c r="L79" s="679"/>
      <c r="M79" s="678"/>
      <c r="N79" s="672">
        <v>0</v>
      </c>
      <c r="O79" s="680">
        <v>0</v>
      </c>
      <c r="P79" s="680">
        <v>515.41</v>
      </c>
      <c r="Q79" s="705">
        <v>515.41</v>
      </c>
      <c r="R79" s="680">
        <v>515.41</v>
      </c>
      <c r="S79" s="680">
        <v>515.41</v>
      </c>
      <c r="T79" s="680">
        <v>515.41</v>
      </c>
      <c r="U79" s="680">
        <v>515.41</v>
      </c>
      <c r="V79" s="680">
        <v>515.41</v>
      </c>
      <c r="W79" s="680">
        <v>515.41</v>
      </c>
      <c r="X79" s="680">
        <v>515.41</v>
      </c>
      <c r="Y79" s="680">
        <v>515.41</v>
      </c>
    </row>
    <row r="80" spans="1:27">
      <c r="A80" s="661" t="s">
        <v>765</v>
      </c>
      <c r="B80" s="661" t="s">
        <v>227</v>
      </c>
      <c r="C80" s="662" t="s">
        <v>766</v>
      </c>
      <c r="D80" s="663">
        <v>35</v>
      </c>
      <c r="E80" s="675">
        <v>0</v>
      </c>
      <c r="F80" s="665">
        <v>35</v>
      </c>
      <c r="G80" s="666">
        <v>500</v>
      </c>
      <c r="H80" s="667">
        <v>0</v>
      </c>
      <c r="I80" s="668">
        <v>750</v>
      </c>
      <c r="J80" s="669">
        <v>750</v>
      </c>
      <c r="K80" s="678">
        <v>0</v>
      </c>
      <c r="L80" s="679"/>
      <c r="M80" s="678"/>
      <c r="N80" s="672">
        <v>0</v>
      </c>
      <c r="O80" s="680">
        <v>0</v>
      </c>
      <c r="P80" s="680">
        <v>0</v>
      </c>
      <c r="Q80" s="705">
        <v>0</v>
      </c>
      <c r="R80" s="680">
        <v>0</v>
      </c>
      <c r="S80" s="680">
        <v>0</v>
      </c>
      <c r="T80" s="680">
        <v>0</v>
      </c>
      <c r="U80" s="680">
        <v>0</v>
      </c>
      <c r="V80" s="680">
        <v>0</v>
      </c>
      <c r="W80" s="680">
        <v>0</v>
      </c>
      <c r="X80" s="680">
        <v>0</v>
      </c>
      <c r="Y80" s="680">
        <v>0</v>
      </c>
    </row>
    <row r="81" spans="1:27" s="76" customFormat="1">
      <c r="A81" s="682" t="s">
        <v>767</v>
      </c>
      <c r="B81" s="682"/>
      <c r="C81" s="683" t="s">
        <v>768</v>
      </c>
      <c r="D81" s="684"/>
      <c r="E81" s="685"/>
      <c r="F81" s="686"/>
      <c r="G81" s="696"/>
      <c r="H81" s="687"/>
      <c r="I81" s="698"/>
      <c r="J81" s="699"/>
      <c r="K81" s="690"/>
      <c r="L81" s="691"/>
      <c r="M81" s="690"/>
      <c r="N81" s="702"/>
      <c r="O81" s="704"/>
      <c r="P81" s="704"/>
      <c r="Q81" s="722"/>
      <c r="R81" s="704"/>
      <c r="S81" s="704"/>
      <c r="T81" s="704"/>
      <c r="U81" s="704"/>
      <c r="V81" s="704"/>
      <c r="W81" s="704"/>
      <c r="X81" s="694"/>
      <c r="Y81" s="694"/>
      <c r="Z81" s="74"/>
      <c r="AA81" s="75"/>
    </row>
    <row r="82" spans="1:27">
      <c r="A82" s="661" t="s">
        <v>213</v>
      </c>
      <c r="B82" s="661" t="s">
        <v>212</v>
      </c>
      <c r="C82" s="662" t="s">
        <v>769</v>
      </c>
      <c r="D82" s="663">
        <v>1500</v>
      </c>
      <c r="E82" s="675">
        <v>0</v>
      </c>
      <c r="F82" s="665">
        <v>1500</v>
      </c>
      <c r="G82" s="666">
        <v>1500</v>
      </c>
      <c r="H82" s="667">
        <v>150.31</v>
      </c>
      <c r="I82" s="668">
        <v>1500</v>
      </c>
      <c r="J82" s="669">
        <v>3000</v>
      </c>
      <c r="K82" s="678">
        <v>0</v>
      </c>
      <c r="L82" s="679"/>
      <c r="M82" s="678"/>
      <c r="N82" s="672">
        <v>0</v>
      </c>
      <c r="O82" s="680">
        <v>0</v>
      </c>
      <c r="P82" s="680">
        <v>0</v>
      </c>
      <c r="Q82" s="705">
        <v>0</v>
      </c>
      <c r="R82" s="680">
        <v>0</v>
      </c>
      <c r="S82" s="680">
        <v>54.54</v>
      </c>
      <c r="T82" s="680">
        <v>54.54</v>
      </c>
      <c r="U82" s="680">
        <v>54.54</v>
      </c>
      <c r="V82" s="680">
        <v>54.54</v>
      </c>
      <c r="W82" s="680">
        <v>54.54</v>
      </c>
      <c r="X82" s="680">
        <v>54.54</v>
      </c>
      <c r="Y82" s="680">
        <v>54.54</v>
      </c>
    </row>
    <row r="83" spans="1:27">
      <c r="A83" s="661" t="s">
        <v>218</v>
      </c>
      <c r="B83" s="661" t="s">
        <v>217</v>
      </c>
      <c r="C83" s="662" t="s">
        <v>770</v>
      </c>
      <c r="D83" s="663">
        <v>1500</v>
      </c>
      <c r="E83" s="675">
        <v>0</v>
      </c>
      <c r="F83" s="665">
        <v>1500</v>
      </c>
      <c r="G83" s="666">
        <v>1000</v>
      </c>
      <c r="H83" s="667">
        <v>0</v>
      </c>
      <c r="I83" s="668">
        <v>1500</v>
      </c>
      <c r="J83" s="669">
        <v>500</v>
      </c>
      <c r="K83" s="678">
        <v>0</v>
      </c>
      <c r="L83" s="679"/>
      <c r="M83" s="678"/>
      <c r="N83" s="672">
        <v>0</v>
      </c>
      <c r="O83" s="680">
        <v>0</v>
      </c>
      <c r="P83" s="680">
        <v>0</v>
      </c>
      <c r="Q83" s="705">
        <v>0</v>
      </c>
      <c r="R83" s="680">
        <v>0</v>
      </c>
      <c r="S83" s="680">
        <v>0</v>
      </c>
      <c r="T83" s="680">
        <v>0</v>
      </c>
      <c r="U83" s="680">
        <v>0</v>
      </c>
      <c r="V83" s="680">
        <v>0</v>
      </c>
      <c r="W83" s="680">
        <v>0</v>
      </c>
      <c r="X83" s="680">
        <v>0</v>
      </c>
      <c r="Y83" s="680">
        <v>0</v>
      </c>
    </row>
    <row r="84" spans="1:27">
      <c r="A84" s="661" t="s">
        <v>216</v>
      </c>
      <c r="B84" s="661" t="s">
        <v>215</v>
      </c>
      <c r="C84" s="662" t="s">
        <v>771</v>
      </c>
      <c r="D84" s="663">
        <v>1000</v>
      </c>
      <c r="E84" s="675">
        <v>199</v>
      </c>
      <c r="F84" s="665">
        <v>1000</v>
      </c>
      <c r="G84" s="666">
        <v>1500</v>
      </c>
      <c r="H84" s="667">
        <v>487.47</v>
      </c>
      <c r="I84" s="668">
        <v>1000</v>
      </c>
      <c r="J84" s="669">
        <v>1000</v>
      </c>
      <c r="K84" s="678">
        <v>215</v>
      </c>
      <c r="L84" s="679"/>
      <c r="M84" s="678"/>
      <c r="N84" s="672">
        <v>0</v>
      </c>
      <c r="O84" s="680">
        <v>0</v>
      </c>
      <c r="P84" s="680">
        <v>144</v>
      </c>
      <c r="Q84" s="705">
        <v>144</v>
      </c>
      <c r="R84" s="680">
        <v>144</v>
      </c>
      <c r="S84" s="680">
        <v>144</v>
      </c>
      <c r="T84" s="680">
        <v>144</v>
      </c>
      <c r="U84" s="680">
        <v>144</v>
      </c>
      <c r="V84" s="680">
        <v>144</v>
      </c>
      <c r="W84" s="680">
        <v>144</v>
      </c>
      <c r="X84" s="680">
        <v>144</v>
      </c>
      <c r="Y84" s="680">
        <v>144</v>
      </c>
    </row>
    <row r="85" spans="1:27" s="76" customFormat="1">
      <c r="A85" s="682" t="s">
        <v>772</v>
      </c>
      <c r="B85" s="682"/>
      <c r="C85" s="683" t="s">
        <v>773</v>
      </c>
      <c r="D85" s="684"/>
      <c r="E85" s="696"/>
      <c r="F85" s="686"/>
      <c r="G85" s="696"/>
      <c r="H85" s="697"/>
      <c r="I85" s="698"/>
      <c r="J85" s="699"/>
      <c r="K85" s="690"/>
      <c r="L85" s="691"/>
      <c r="M85" s="690"/>
      <c r="N85" s="702"/>
      <c r="O85" s="704"/>
      <c r="P85" s="704"/>
      <c r="Q85" s="722"/>
      <c r="R85" s="704"/>
      <c r="S85" s="704"/>
      <c r="T85" s="704"/>
      <c r="U85" s="704"/>
      <c r="V85" s="704"/>
      <c r="W85" s="704"/>
      <c r="X85" s="694"/>
      <c r="Y85" s="694"/>
      <c r="Z85" s="74"/>
      <c r="AA85" s="75"/>
    </row>
    <row r="86" spans="1:27">
      <c r="A86" s="723" t="s">
        <v>774</v>
      </c>
      <c r="B86" s="674" t="s">
        <v>775</v>
      </c>
      <c r="C86" s="662" t="s">
        <v>776</v>
      </c>
      <c r="D86" s="663">
        <v>10000</v>
      </c>
      <c r="E86" s="675">
        <v>7761.38</v>
      </c>
      <c r="F86" s="665">
        <v>10000</v>
      </c>
      <c r="G86" s="666">
        <v>34000</v>
      </c>
      <c r="H86" s="667">
        <v>23311.86</v>
      </c>
      <c r="I86" s="668">
        <v>75000</v>
      </c>
      <c r="J86" s="669">
        <v>8500</v>
      </c>
      <c r="K86" s="678">
        <v>8300</v>
      </c>
      <c r="L86" s="679"/>
      <c r="M86" s="678"/>
      <c r="N86" s="705">
        <v>0</v>
      </c>
      <c r="O86" s="680">
        <v>136.85</v>
      </c>
      <c r="P86" s="680">
        <v>303.45</v>
      </c>
      <c r="Q86" s="705">
        <v>303.45</v>
      </c>
      <c r="R86" s="680">
        <v>702.1</v>
      </c>
      <c r="S86" s="680">
        <v>881.1</v>
      </c>
      <c r="T86" s="680">
        <v>2382.33</v>
      </c>
      <c r="U86" s="680">
        <v>3358.13</v>
      </c>
      <c r="V86" s="680">
        <v>3358.13</v>
      </c>
      <c r="W86" s="680">
        <v>3358.13</v>
      </c>
      <c r="X86" s="680">
        <v>9819.83</v>
      </c>
      <c r="Y86" s="680">
        <v>10266.08</v>
      </c>
    </row>
    <row r="87" spans="1:27">
      <c r="A87" s="661" t="s">
        <v>449</v>
      </c>
      <c r="B87" s="661" t="s">
        <v>448</v>
      </c>
      <c r="C87" s="662" t="s">
        <v>777</v>
      </c>
      <c r="D87" s="663">
        <v>5000</v>
      </c>
      <c r="E87" s="675">
        <v>3663.15</v>
      </c>
      <c r="F87" s="665">
        <v>5000</v>
      </c>
      <c r="G87" s="666">
        <v>5000</v>
      </c>
      <c r="H87" s="667">
        <v>4416.1499999999996</v>
      </c>
      <c r="I87" s="668">
        <v>5000</v>
      </c>
      <c r="J87" s="669">
        <v>3200</v>
      </c>
      <c r="K87" s="678">
        <v>2707.25</v>
      </c>
      <c r="L87" s="679"/>
      <c r="M87" s="678"/>
      <c r="N87" s="672">
        <v>662.83</v>
      </c>
      <c r="O87" s="680">
        <v>1812.37</v>
      </c>
      <c r="P87" s="680">
        <v>2456.16</v>
      </c>
      <c r="Q87" s="705">
        <v>2456.16</v>
      </c>
      <c r="R87" s="680">
        <v>2938.12</v>
      </c>
      <c r="S87" s="680">
        <v>3179.1</v>
      </c>
      <c r="T87" s="680">
        <v>4074.58</v>
      </c>
      <c r="U87" s="680">
        <v>4315.5600000000004</v>
      </c>
      <c r="V87" s="680">
        <v>4540.47</v>
      </c>
      <c r="W87" s="680">
        <v>4540.47</v>
      </c>
      <c r="X87" s="680">
        <v>4990.29</v>
      </c>
      <c r="Y87" s="680">
        <v>5215.2</v>
      </c>
    </row>
    <row r="88" spans="1:27">
      <c r="A88" s="661" t="s">
        <v>452</v>
      </c>
      <c r="B88" s="661" t="s">
        <v>451</v>
      </c>
      <c r="C88" s="662" t="s">
        <v>778</v>
      </c>
      <c r="D88" s="663">
        <v>500</v>
      </c>
      <c r="E88" s="664">
        <v>1517.25</v>
      </c>
      <c r="F88" s="665">
        <v>500</v>
      </c>
      <c r="G88" s="666">
        <f>24000+2500</f>
        <v>26500</v>
      </c>
      <c r="H88" s="667">
        <v>1561.88</v>
      </c>
      <c r="I88" s="668">
        <v>2000</v>
      </c>
      <c r="J88" s="669">
        <v>2000</v>
      </c>
      <c r="K88" s="678">
        <v>1071</v>
      </c>
      <c r="L88" s="679"/>
      <c r="M88" s="678"/>
      <c r="N88" s="672">
        <v>0</v>
      </c>
      <c r="O88" s="680">
        <v>0</v>
      </c>
      <c r="P88" s="680">
        <v>0</v>
      </c>
      <c r="Q88" s="705">
        <v>0</v>
      </c>
      <c r="R88" s="680">
        <v>0</v>
      </c>
      <c r="S88" s="680">
        <v>0</v>
      </c>
      <c r="T88" s="680">
        <v>0</v>
      </c>
      <c r="U88" s="680">
        <v>0</v>
      </c>
      <c r="V88" s="680">
        <v>0</v>
      </c>
      <c r="W88" s="680">
        <v>0</v>
      </c>
      <c r="X88" s="680">
        <v>0</v>
      </c>
      <c r="Y88" s="680">
        <v>0</v>
      </c>
    </row>
    <row r="89" spans="1:27" s="76" customFormat="1">
      <c r="A89" s="682" t="s">
        <v>779</v>
      </c>
      <c r="B89" s="682"/>
      <c r="C89" s="683" t="s">
        <v>780</v>
      </c>
      <c r="D89" s="684"/>
      <c r="E89" s="696"/>
      <c r="F89" s="686"/>
      <c r="G89" s="696"/>
      <c r="H89" s="697"/>
      <c r="I89" s="698"/>
      <c r="J89" s="699"/>
      <c r="K89" s="690"/>
      <c r="L89" s="691"/>
      <c r="M89" s="690"/>
      <c r="N89" s="702"/>
      <c r="O89" s="704"/>
      <c r="P89" s="704"/>
      <c r="Q89" s="722"/>
      <c r="R89" s="704"/>
      <c r="S89" s="704"/>
      <c r="T89" s="704"/>
      <c r="U89" s="704"/>
      <c r="V89" s="704"/>
      <c r="W89" s="704"/>
      <c r="X89" s="694"/>
      <c r="Y89" s="694"/>
      <c r="Z89" s="74"/>
      <c r="AA89" s="75"/>
    </row>
    <row r="90" spans="1:27" s="76" customFormat="1">
      <c r="A90" s="682" t="s">
        <v>781</v>
      </c>
      <c r="B90" s="682"/>
      <c r="C90" s="683" t="s">
        <v>782</v>
      </c>
      <c r="D90" s="684"/>
      <c r="E90" s="696"/>
      <c r="F90" s="686"/>
      <c r="G90" s="696"/>
      <c r="H90" s="697"/>
      <c r="I90" s="698"/>
      <c r="J90" s="699"/>
      <c r="K90" s="690"/>
      <c r="L90" s="691"/>
      <c r="M90" s="690"/>
      <c r="N90" s="702"/>
      <c r="O90" s="704"/>
      <c r="P90" s="704"/>
      <c r="Q90" s="722"/>
      <c r="R90" s="704"/>
      <c r="S90" s="704"/>
      <c r="T90" s="704"/>
      <c r="U90" s="704"/>
      <c r="V90" s="704"/>
      <c r="W90" s="704"/>
      <c r="X90" s="694"/>
      <c r="Y90" s="694"/>
      <c r="Z90" s="74"/>
      <c r="AA90" s="75"/>
    </row>
    <row r="91" spans="1:27">
      <c r="A91" s="661" t="s">
        <v>783</v>
      </c>
      <c r="B91" s="661" t="s">
        <v>220</v>
      </c>
      <c r="C91" s="662" t="s">
        <v>784</v>
      </c>
      <c r="D91" s="663">
        <v>300</v>
      </c>
      <c r="E91" s="675">
        <v>0</v>
      </c>
      <c r="F91" s="665">
        <v>300</v>
      </c>
      <c r="G91" s="666">
        <v>140</v>
      </c>
      <c r="H91" s="667">
        <v>66.400000000000006</v>
      </c>
      <c r="I91" s="668">
        <v>140</v>
      </c>
      <c r="J91" s="669">
        <v>40</v>
      </c>
      <c r="K91" s="678">
        <v>22.2</v>
      </c>
      <c r="L91" s="679"/>
      <c r="M91" s="678"/>
      <c r="N91" s="672">
        <v>0</v>
      </c>
      <c r="O91" s="680">
        <v>0</v>
      </c>
      <c r="P91" s="680">
        <v>0</v>
      </c>
      <c r="Q91" s="705">
        <v>0</v>
      </c>
      <c r="R91" s="680">
        <v>0</v>
      </c>
      <c r="S91" s="680">
        <v>0</v>
      </c>
      <c r="T91" s="680">
        <v>0</v>
      </c>
      <c r="U91" s="680">
        <v>0</v>
      </c>
      <c r="V91" s="680">
        <v>36.6</v>
      </c>
      <c r="W91" s="680">
        <v>36.6</v>
      </c>
      <c r="X91" s="680">
        <v>36.6</v>
      </c>
      <c r="Y91" s="680">
        <v>36.6</v>
      </c>
    </row>
    <row r="92" spans="1:27">
      <c r="A92" s="661" t="s">
        <v>785</v>
      </c>
      <c r="B92" s="661" t="s">
        <v>220</v>
      </c>
      <c r="C92" s="662" t="s">
        <v>786</v>
      </c>
      <c r="D92" s="663">
        <v>0</v>
      </c>
      <c r="E92" s="675">
        <v>0</v>
      </c>
      <c r="F92" s="665">
        <v>0</v>
      </c>
      <c r="G92" s="666">
        <v>140</v>
      </c>
      <c r="H92" s="667">
        <v>0</v>
      </c>
      <c r="I92" s="668">
        <v>140</v>
      </c>
      <c r="J92" s="669">
        <v>40</v>
      </c>
      <c r="K92" s="678">
        <v>0</v>
      </c>
      <c r="L92" s="679"/>
      <c r="M92" s="678"/>
      <c r="N92" s="672">
        <v>0</v>
      </c>
      <c r="O92" s="680">
        <v>0</v>
      </c>
      <c r="P92" s="680">
        <v>0</v>
      </c>
      <c r="Q92" s="705">
        <v>0</v>
      </c>
      <c r="R92" s="680">
        <v>0</v>
      </c>
      <c r="S92" s="680">
        <v>0</v>
      </c>
      <c r="T92" s="680">
        <v>0</v>
      </c>
      <c r="U92" s="680">
        <v>0</v>
      </c>
      <c r="V92" s="680">
        <v>0</v>
      </c>
      <c r="W92" s="680">
        <v>0</v>
      </c>
      <c r="X92" s="680">
        <v>0</v>
      </c>
      <c r="Y92" s="680">
        <v>0</v>
      </c>
    </row>
    <row r="93" spans="1:27">
      <c r="A93" s="661" t="s">
        <v>787</v>
      </c>
      <c r="B93" s="661" t="s">
        <v>220</v>
      </c>
      <c r="C93" s="662" t="s">
        <v>788</v>
      </c>
      <c r="D93" s="663">
        <v>100</v>
      </c>
      <c r="E93" s="675">
        <v>0</v>
      </c>
      <c r="F93" s="665">
        <v>100</v>
      </c>
      <c r="G93" s="666">
        <v>140</v>
      </c>
      <c r="H93" s="667">
        <v>0</v>
      </c>
      <c r="I93" s="668">
        <v>140</v>
      </c>
      <c r="J93" s="669">
        <v>40</v>
      </c>
      <c r="K93" s="678">
        <v>20</v>
      </c>
      <c r="L93" s="679"/>
      <c r="M93" s="678"/>
      <c r="N93" s="672">
        <v>0</v>
      </c>
      <c r="O93" s="680">
        <v>0</v>
      </c>
      <c r="P93" s="680">
        <v>0</v>
      </c>
      <c r="Q93" s="705">
        <v>0</v>
      </c>
      <c r="R93" s="680">
        <v>0</v>
      </c>
      <c r="S93" s="680">
        <v>0</v>
      </c>
      <c r="T93" s="680">
        <v>0</v>
      </c>
      <c r="U93" s="680">
        <v>0</v>
      </c>
      <c r="V93" s="680">
        <v>0</v>
      </c>
      <c r="W93" s="680">
        <v>0</v>
      </c>
      <c r="X93" s="680">
        <v>0</v>
      </c>
      <c r="Y93" s="680">
        <v>0</v>
      </c>
    </row>
    <row r="94" spans="1:27" s="76" customFormat="1">
      <c r="A94" s="682" t="s">
        <v>789</v>
      </c>
      <c r="B94" s="682"/>
      <c r="C94" s="683" t="s">
        <v>790</v>
      </c>
      <c r="D94" s="684"/>
      <c r="E94" s="696"/>
      <c r="F94" s="686"/>
      <c r="G94" s="696"/>
      <c r="H94" s="697"/>
      <c r="I94" s="698"/>
      <c r="J94" s="699"/>
      <c r="K94" s="690"/>
      <c r="L94" s="691"/>
      <c r="M94" s="690"/>
      <c r="N94" s="702"/>
      <c r="O94" s="704"/>
      <c r="P94" s="704"/>
      <c r="Q94" s="722"/>
      <c r="R94" s="704"/>
      <c r="S94" s="704"/>
      <c r="T94" s="704"/>
      <c r="U94" s="704"/>
      <c r="V94" s="704"/>
      <c r="W94" s="704"/>
      <c r="X94" s="694"/>
      <c r="Y94" s="694"/>
      <c r="Z94" s="74"/>
      <c r="AA94" s="75"/>
    </row>
    <row r="95" spans="1:27">
      <c r="A95" s="661" t="s">
        <v>791</v>
      </c>
      <c r="B95" s="661" t="s">
        <v>267</v>
      </c>
      <c r="C95" s="662" t="s">
        <v>792</v>
      </c>
      <c r="D95" s="663">
        <v>25000</v>
      </c>
      <c r="E95" s="675">
        <v>6559.06</v>
      </c>
      <c r="F95" s="665">
        <v>25000</v>
      </c>
      <c r="G95" s="666">
        <v>24500</v>
      </c>
      <c r="H95" s="667">
        <v>12104.64</v>
      </c>
      <c r="I95" s="668">
        <v>10666.67</v>
      </c>
      <c r="J95" s="669">
        <v>8333.33</v>
      </c>
      <c r="K95" s="678">
        <v>14112.86</v>
      </c>
      <c r="L95" s="679"/>
      <c r="M95" s="678"/>
      <c r="N95" s="705">
        <v>1796.77</v>
      </c>
      <c r="O95" s="680">
        <v>3272.38</v>
      </c>
      <c r="P95" s="680">
        <v>4070.1</v>
      </c>
      <c r="Q95" s="705">
        <v>4192.46</v>
      </c>
      <c r="R95" s="680">
        <v>6394.15</v>
      </c>
      <c r="S95" s="680">
        <v>7533.09</v>
      </c>
      <c r="T95" s="680">
        <v>9060.35</v>
      </c>
      <c r="U95" s="680">
        <v>9254.2000000000007</v>
      </c>
      <c r="V95" s="680">
        <v>10535.25</v>
      </c>
      <c r="W95" s="680">
        <v>11537.94</v>
      </c>
      <c r="X95" s="680">
        <v>12000.69</v>
      </c>
      <c r="Y95" s="680">
        <v>13218.21</v>
      </c>
    </row>
    <row r="96" spans="1:27">
      <c r="A96" s="661" t="s">
        <v>793</v>
      </c>
      <c r="B96" s="661" t="s">
        <v>291</v>
      </c>
      <c r="C96" s="662" t="s">
        <v>794</v>
      </c>
      <c r="D96" s="663">
        <v>2500</v>
      </c>
      <c r="E96" s="675">
        <v>1542.54</v>
      </c>
      <c r="F96" s="665">
        <v>2500</v>
      </c>
      <c r="G96" s="666">
        <v>2170</v>
      </c>
      <c r="H96" s="667">
        <v>0</v>
      </c>
      <c r="I96" s="668">
        <v>2500</v>
      </c>
      <c r="J96" s="669">
        <v>2583.33</v>
      </c>
      <c r="K96" s="678">
        <v>150</v>
      </c>
      <c r="L96" s="679"/>
      <c r="M96" s="678"/>
      <c r="N96" s="705"/>
      <c r="O96" s="680">
        <v>0</v>
      </c>
      <c r="P96" s="680">
        <v>0</v>
      </c>
      <c r="Q96" s="705">
        <v>0</v>
      </c>
      <c r="R96" s="680">
        <v>0</v>
      </c>
      <c r="S96" s="680">
        <v>0</v>
      </c>
      <c r="T96" s="680">
        <v>0</v>
      </c>
      <c r="U96" s="680">
        <v>0</v>
      </c>
      <c r="V96" s="680">
        <v>0</v>
      </c>
      <c r="W96" s="680">
        <v>0</v>
      </c>
      <c r="X96" s="680">
        <v>0</v>
      </c>
      <c r="Y96" s="680">
        <v>0</v>
      </c>
    </row>
    <row r="97" spans="1:27">
      <c r="A97" s="661" t="s">
        <v>795</v>
      </c>
      <c r="B97" s="661" t="s">
        <v>291</v>
      </c>
      <c r="C97" s="662" t="s">
        <v>796</v>
      </c>
      <c r="D97" s="663">
        <v>6000</v>
      </c>
      <c r="E97" s="675">
        <v>2905.03</v>
      </c>
      <c r="F97" s="665">
        <v>6000</v>
      </c>
      <c r="G97" s="666">
        <v>2170</v>
      </c>
      <c r="H97" s="695">
        <v>6805.5</v>
      </c>
      <c r="I97" s="668">
        <v>2500</v>
      </c>
      <c r="J97" s="669">
        <v>2853.33</v>
      </c>
      <c r="K97" s="678">
        <v>11082.02</v>
      </c>
      <c r="L97" s="679"/>
      <c r="M97" s="678"/>
      <c r="N97" s="705">
        <v>0</v>
      </c>
      <c r="O97" s="680">
        <v>1238.23</v>
      </c>
      <c r="P97" s="680">
        <v>1238.23</v>
      </c>
      <c r="Q97" s="705">
        <v>1238.23</v>
      </c>
      <c r="R97" s="680">
        <v>3633.73</v>
      </c>
      <c r="S97" s="680">
        <v>3796.93</v>
      </c>
      <c r="T97" s="680">
        <v>3796.93</v>
      </c>
      <c r="U97" s="680">
        <v>3796.93</v>
      </c>
      <c r="V97" s="680">
        <v>4056.93</v>
      </c>
      <c r="W97" s="680">
        <v>5829.73</v>
      </c>
      <c r="X97" s="680">
        <v>7302.53</v>
      </c>
      <c r="Y97" s="680">
        <v>7302.53</v>
      </c>
    </row>
    <row r="98" spans="1:27">
      <c r="A98" s="661" t="s">
        <v>797</v>
      </c>
      <c r="B98" s="661" t="s">
        <v>267</v>
      </c>
      <c r="C98" s="662" t="s">
        <v>798</v>
      </c>
      <c r="D98" s="663">
        <v>7000</v>
      </c>
      <c r="E98" s="675">
        <v>3180.51</v>
      </c>
      <c r="F98" s="665">
        <v>7000</v>
      </c>
      <c r="G98" s="666">
        <v>5000</v>
      </c>
      <c r="H98" s="667">
        <v>3969.61</v>
      </c>
      <c r="I98" s="668">
        <v>10666.67</v>
      </c>
      <c r="J98" s="669">
        <v>8333.33</v>
      </c>
      <c r="K98" s="678">
        <v>3441</v>
      </c>
      <c r="L98" s="679"/>
      <c r="M98" s="678"/>
      <c r="N98" s="705">
        <v>1145.57</v>
      </c>
      <c r="O98" s="680">
        <v>1421.66</v>
      </c>
      <c r="P98" s="680">
        <v>1469.66</v>
      </c>
      <c r="Q98" s="705">
        <v>1469.66</v>
      </c>
      <c r="R98" s="680">
        <v>1525.16</v>
      </c>
      <c r="S98" s="680">
        <v>1842.39</v>
      </c>
      <c r="T98" s="680">
        <v>2862.28</v>
      </c>
      <c r="U98" s="680">
        <v>2862.28</v>
      </c>
      <c r="V98" s="680">
        <v>2929.48</v>
      </c>
      <c r="W98" s="680">
        <v>3103.48</v>
      </c>
      <c r="X98" s="680">
        <v>3103.48</v>
      </c>
      <c r="Y98" s="680">
        <v>3130.14</v>
      </c>
    </row>
    <row r="99" spans="1:27">
      <c r="A99" s="724" t="s">
        <v>799</v>
      </c>
      <c r="B99" s="724" t="s">
        <v>291</v>
      </c>
      <c r="C99" s="725" t="s">
        <v>800</v>
      </c>
      <c r="D99" s="726">
        <v>500</v>
      </c>
      <c r="E99" s="675">
        <v>0</v>
      </c>
      <c r="F99" s="727">
        <v>500</v>
      </c>
      <c r="G99" s="666">
        <v>2170</v>
      </c>
      <c r="H99" s="667">
        <v>0</v>
      </c>
      <c r="I99" s="668">
        <v>2500</v>
      </c>
      <c r="J99" s="669">
        <v>2583.34</v>
      </c>
      <c r="K99" s="678">
        <v>0</v>
      </c>
      <c r="L99" s="728"/>
      <c r="M99" s="729"/>
      <c r="N99" s="730">
        <v>0</v>
      </c>
      <c r="O99" s="680">
        <v>0</v>
      </c>
      <c r="P99" s="680">
        <v>0</v>
      </c>
      <c r="Q99" s="705">
        <v>0</v>
      </c>
      <c r="R99" s="680">
        <v>0</v>
      </c>
      <c r="S99" s="680">
        <v>0</v>
      </c>
      <c r="T99" s="680">
        <v>0</v>
      </c>
      <c r="U99" s="680">
        <v>0</v>
      </c>
      <c r="V99" s="680">
        <v>0</v>
      </c>
      <c r="W99" s="680">
        <v>0</v>
      </c>
      <c r="X99" s="680">
        <v>0</v>
      </c>
      <c r="Y99" s="680">
        <v>0</v>
      </c>
    </row>
    <row r="100" spans="1:27">
      <c r="A100" s="731" t="s">
        <v>801</v>
      </c>
      <c r="B100" s="731" t="s">
        <v>291</v>
      </c>
      <c r="C100" s="732" t="s">
        <v>802</v>
      </c>
      <c r="D100" s="733">
        <v>1000</v>
      </c>
      <c r="E100" s="675">
        <v>360</v>
      </c>
      <c r="F100" s="734">
        <v>1000</v>
      </c>
      <c r="G100" s="666">
        <v>2170</v>
      </c>
      <c r="H100" s="667">
        <v>816</v>
      </c>
      <c r="I100" s="668">
        <v>2500</v>
      </c>
      <c r="J100" s="669">
        <v>2583.33</v>
      </c>
      <c r="K100" s="678">
        <v>674.29</v>
      </c>
      <c r="L100" s="341"/>
      <c r="M100" s="342"/>
      <c r="N100" s="735">
        <v>370.01</v>
      </c>
      <c r="O100" s="680">
        <v>542.27</v>
      </c>
      <c r="P100" s="680">
        <v>542.27</v>
      </c>
      <c r="Q100" s="705">
        <v>542.27</v>
      </c>
      <c r="R100" s="680">
        <v>849.47</v>
      </c>
      <c r="S100" s="680">
        <v>972.72</v>
      </c>
      <c r="T100" s="680">
        <v>1036.72</v>
      </c>
      <c r="U100" s="680">
        <v>1036.72</v>
      </c>
      <c r="V100" s="680">
        <v>1036.72</v>
      </c>
      <c r="W100" s="680">
        <v>1036.72</v>
      </c>
      <c r="X100" s="680">
        <v>1100.72</v>
      </c>
      <c r="Y100" s="680">
        <v>1164.72</v>
      </c>
    </row>
    <row r="101" spans="1:27">
      <c r="A101" s="731" t="s">
        <v>803</v>
      </c>
      <c r="B101" s="731" t="s">
        <v>267</v>
      </c>
      <c r="C101" s="732" t="s">
        <v>804</v>
      </c>
      <c r="D101" s="733">
        <v>500</v>
      </c>
      <c r="E101" s="675">
        <v>482.45</v>
      </c>
      <c r="F101" s="734">
        <v>500</v>
      </c>
      <c r="G101" s="666">
        <v>500</v>
      </c>
      <c r="H101" s="667">
        <v>6</v>
      </c>
      <c r="I101" s="668">
        <v>10666.66</v>
      </c>
      <c r="J101" s="669">
        <v>8333.34</v>
      </c>
      <c r="K101" s="678">
        <v>322.2</v>
      </c>
      <c r="L101" s="341"/>
      <c r="M101" s="342"/>
      <c r="N101" s="735">
        <v>0</v>
      </c>
      <c r="O101" s="680">
        <v>0</v>
      </c>
      <c r="P101" s="680">
        <v>0</v>
      </c>
      <c r="Q101" s="705">
        <v>0</v>
      </c>
      <c r="R101" s="680">
        <v>0</v>
      </c>
      <c r="S101" s="680">
        <v>0</v>
      </c>
      <c r="T101" s="680">
        <v>0</v>
      </c>
      <c r="U101" s="680">
        <v>0</v>
      </c>
      <c r="V101" s="680">
        <v>0</v>
      </c>
      <c r="W101" s="680">
        <v>0</v>
      </c>
      <c r="X101" s="680">
        <v>0</v>
      </c>
      <c r="Y101" s="680">
        <v>0</v>
      </c>
    </row>
    <row r="102" spans="1:27">
      <c r="A102" s="731" t="s">
        <v>805</v>
      </c>
      <c r="B102" s="731" t="s">
        <v>291</v>
      </c>
      <c r="C102" s="732" t="s">
        <v>806</v>
      </c>
      <c r="D102" s="733">
        <v>100</v>
      </c>
      <c r="E102" s="675">
        <v>0</v>
      </c>
      <c r="F102" s="734">
        <v>100</v>
      </c>
      <c r="G102" s="666">
        <v>2170</v>
      </c>
      <c r="H102" s="667">
        <v>0</v>
      </c>
      <c r="I102" s="668">
        <v>2500</v>
      </c>
      <c r="J102" s="669">
        <v>2583.33</v>
      </c>
      <c r="K102" s="678">
        <v>0</v>
      </c>
      <c r="L102" s="341"/>
      <c r="M102" s="342"/>
      <c r="N102" s="735">
        <v>0</v>
      </c>
      <c r="O102" s="680">
        <v>0</v>
      </c>
      <c r="P102" s="680">
        <v>0</v>
      </c>
      <c r="Q102" s="705">
        <v>0</v>
      </c>
      <c r="R102" s="680">
        <v>0</v>
      </c>
      <c r="S102" s="680">
        <v>0</v>
      </c>
      <c r="T102" s="680">
        <v>0</v>
      </c>
      <c r="U102" s="680">
        <v>0</v>
      </c>
      <c r="V102" s="680">
        <v>0</v>
      </c>
      <c r="W102" s="680">
        <v>0</v>
      </c>
      <c r="X102" s="680">
        <v>0</v>
      </c>
      <c r="Y102" s="680">
        <v>0</v>
      </c>
    </row>
    <row r="103" spans="1:27">
      <c r="A103" s="736" t="s">
        <v>807</v>
      </c>
      <c r="B103" s="736" t="s">
        <v>291</v>
      </c>
      <c r="C103" s="737" t="s">
        <v>808</v>
      </c>
      <c r="D103" s="738">
        <v>250</v>
      </c>
      <c r="E103" s="675">
        <v>0</v>
      </c>
      <c r="F103" s="739">
        <v>250</v>
      </c>
      <c r="G103" s="666">
        <v>2150</v>
      </c>
      <c r="H103" s="667">
        <v>0</v>
      </c>
      <c r="I103" s="668">
        <v>2500</v>
      </c>
      <c r="J103" s="669">
        <v>2583.34</v>
      </c>
      <c r="K103" s="678">
        <v>0</v>
      </c>
      <c r="L103" s="740"/>
      <c r="M103" s="741"/>
      <c r="N103" s="742">
        <v>0</v>
      </c>
      <c r="O103" s="680">
        <v>0</v>
      </c>
      <c r="P103" s="680">
        <v>0</v>
      </c>
      <c r="Q103" s="705">
        <v>0</v>
      </c>
      <c r="R103" s="680">
        <v>0</v>
      </c>
      <c r="S103" s="680">
        <v>0</v>
      </c>
      <c r="T103" s="680">
        <v>0</v>
      </c>
      <c r="U103" s="680">
        <v>0</v>
      </c>
      <c r="V103" s="680">
        <v>0</v>
      </c>
      <c r="W103" s="680">
        <v>0</v>
      </c>
      <c r="X103" s="680">
        <v>0</v>
      </c>
      <c r="Y103" s="680">
        <v>0</v>
      </c>
    </row>
    <row r="104" spans="1:27" s="76" customFormat="1">
      <c r="A104" s="682" t="s">
        <v>809</v>
      </c>
      <c r="B104" s="682"/>
      <c r="C104" s="683" t="s">
        <v>810</v>
      </c>
      <c r="D104" s="684"/>
      <c r="E104" s="685"/>
      <c r="F104" s="686"/>
      <c r="G104" s="696"/>
      <c r="H104" s="687"/>
      <c r="I104" s="698"/>
      <c r="J104" s="699"/>
      <c r="K104" s="690"/>
      <c r="L104" s="691"/>
      <c r="M104" s="690"/>
      <c r="N104" s="702"/>
      <c r="O104" s="704"/>
      <c r="P104" s="704"/>
      <c r="Q104" s="722"/>
      <c r="R104" s="704"/>
      <c r="S104" s="694"/>
      <c r="T104" s="694"/>
      <c r="U104" s="694"/>
      <c r="V104" s="694"/>
      <c r="W104" s="704"/>
      <c r="X104" s="694"/>
      <c r="Y104" s="694"/>
      <c r="Z104" s="74"/>
      <c r="AA104" s="75"/>
    </row>
    <row r="105" spans="1:27">
      <c r="A105" s="743" t="s">
        <v>811</v>
      </c>
      <c r="B105" s="743" t="s">
        <v>270</v>
      </c>
      <c r="C105" s="744" t="s">
        <v>812</v>
      </c>
      <c r="D105" s="663">
        <v>10000</v>
      </c>
      <c r="E105" s="675">
        <v>3531.01</v>
      </c>
      <c r="F105" s="665">
        <v>10000</v>
      </c>
      <c r="G105" s="666">
        <v>2100</v>
      </c>
      <c r="H105" s="695">
        <v>5623.16</v>
      </c>
      <c r="I105" s="668">
        <v>3250</v>
      </c>
      <c r="J105" s="669">
        <v>1250</v>
      </c>
      <c r="K105" s="678">
        <v>7580.13</v>
      </c>
      <c r="L105" s="679"/>
      <c r="M105" s="678"/>
      <c r="N105" s="745">
        <v>730.13</v>
      </c>
      <c r="O105" s="680">
        <v>1048.1300000000001</v>
      </c>
      <c r="P105" s="680">
        <v>1070.45</v>
      </c>
      <c r="Q105" s="705">
        <v>2711.53</v>
      </c>
      <c r="R105" s="680">
        <v>3674.53</v>
      </c>
      <c r="S105" s="680">
        <v>4756.1499999999996</v>
      </c>
      <c r="T105" s="680">
        <v>5932.35</v>
      </c>
      <c r="U105" s="680">
        <v>6397.5</v>
      </c>
      <c r="V105" s="680">
        <v>7552.39</v>
      </c>
      <c r="W105" s="680">
        <v>10912.31</v>
      </c>
      <c r="X105" s="680">
        <v>11071.51</v>
      </c>
      <c r="Y105" s="680">
        <v>11968.98</v>
      </c>
    </row>
    <row r="106" spans="1:27">
      <c r="A106" s="743" t="s">
        <v>813</v>
      </c>
      <c r="B106" s="743" t="s">
        <v>294</v>
      </c>
      <c r="C106" s="744" t="s">
        <v>814</v>
      </c>
      <c r="D106" s="663">
        <v>1000</v>
      </c>
      <c r="E106" s="675">
        <v>0</v>
      </c>
      <c r="F106" s="665">
        <v>1000</v>
      </c>
      <c r="G106" s="666">
        <v>2031.25</v>
      </c>
      <c r="H106" s="667">
        <v>0</v>
      </c>
      <c r="I106" s="668">
        <v>338.25</v>
      </c>
      <c r="J106" s="669">
        <v>437.5</v>
      </c>
      <c r="K106" s="678">
        <v>105</v>
      </c>
      <c r="L106" s="679"/>
      <c r="M106" s="678"/>
      <c r="N106" s="745">
        <v>0</v>
      </c>
      <c r="O106" s="680">
        <v>0</v>
      </c>
      <c r="P106" s="680">
        <v>0</v>
      </c>
      <c r="Q106" s="705">
        <v>0</v>
      </c>
      <c r="R106" s="680">
        <v>0</v>
      </c>
      <c r="S106" s="680">
        <v>0</v>
      </c>
      <c r="T106" s="680">
        <v>0</v>
      </c>
      <c r="U106" s="680">
        <v>0</v>
      </c>
      <c r="V106" s="680">
        <v>0</v>
      </c>
      <c r="W106" s="680">
        <v>0</v>
      </c>
      <c r="X106" s="680">
        <v>0</v>
      </c>
      <c r="Y106" s="680">
        <v>0</v>
      </c>
    </row>
    <row r="107" spans="1:27">
      <c r="A107" s="743" t="s">
        <v>815</v>
      </c>
      <c r="B107" s="661" t="s">
        <v>294</v>
      </c>
      <c r="C107" s="744" t="s">
        <v>816</v>
      </c>
      <c r="D107" s="663">
        <v>3500</v>
      </c>
      <c r="E107" s="675">
        <v>1551.23</v>
      </c>
      <c r="F107" s="665">
        <v>3500</v>
      </c>
      <c r="G107" s="666">
        <v>2031.25</v>
      </c>
      <c r="H107" s="667">
        <v>2088.4499999999998</v>
      </c>
      <c r="I107" s="668">
        <v>338.25</v>
      </c>
      <c r="J107" s="669">
        <v>437.5</v>
      </c>
      <c r="K107" s="678">
        <v>3502.51</v>
      </c>
      <c r="L107" s="679"/>
      <c r="M107" s="678"/>
      <c r="N107" s="745">
        <v>346.5</v>
      </c>
      <c r="O107" s="680">
        <v>474.5</v>
      </c>
      <c r="P107" s="680">
        <v>762.5</v>
      </c>
      <c r="Q107" s="705">
        <v>1025.6199999999999</v>
      </c>
      <c r="R107" s="680">
        <v>1860.62</v>
      </c>
      <c r="S107" s="680">
        <v>2053.87</v>
      </c>
      <c r="T107" s="680">
        <v>2531.67</v>
      </c>
      <c r="U107" s="680">
        <v>3061.69</v>
      </c>
      <c r="V107" s="680">
        <v>3492.69</v>
      </c>
      <c r="W107" s="680">
        <v>3851.27</v>
      </c>
      <c r="X107" s="680">
        <v>5791.75</v>
      </c>
      <c r="Y107" s="680">
        <v>6346.86</v>
      </c>
    </row>
    <row r="108" spans="1:27" s="76" customFormat="1">
      <c r="A108" s="682" t="s">
        <v>817</v>
      </c>
      <c r="B108" s="682"/>
      <c r="C108" s="683" t="s">
        <v>818</v>
      </c>
      <c r="D108" s="684"/>
      <c r="E108" s="685"/>
      <c r="F108" s="686"/>
      <c r="G108" s="696"/>
      <c r="H108" s="687"/>
      <c r="I108" s="698"/>
      <c r="J108" s="699"/>
      <c r="K108" s="690"/>
      <c r="L108" s="691"/>
      <c r="M108" s="690"/>
      <c r="N108" s="702"/>
      <c r="O108" s="704"/>
      <c r="P108" s="704"/>
      <c r="Q108" s="722"/>
      <c r="R108" s="704"/>
      <c r="S108" s="704"/>
      <c r="T108" s="704"/>
      <c r="U108" s="704"/>
      <c r="V108" s="704"/>
      <c r="W108" s="704"/>
      <c r="X108" s="694"/>
      <c r="Y108" s="694"/>
      <c r="Z108" s="74"/>
      <c r="AA108" s="75"/>
    </row>
    <row r="109" spans="1:27">
      <c r="A109" s="743" t="s">
        <v>819</v>
      </c>
      <c r="B109" s="743" t="s">
        <v>270</v>
      </c>
      <c r="C109" s="744" t="s">
        <v>820</v>
      </c>
      <c r="D109" s="663">
        <v>500</v>
      </c>
      <c r="E109" s="675">
        <v>24.9</v>
      </c>
      <c r="F109" s="665">
        <v>500</v>
      </c>
      <c r="G109" s="666">
        <v>2100</v>
      </c>
      <c r="H109" s="667">
        <v>222</v>
      </c>
      <c r="I109" s="668">
        <v>3250</v>
      </c>
      <c r="J109" s="669">
        <v>1250</v>
      </c>
      <c r="K109" s="678">
        <v>884.9</v>
      </c>
      <c r="L109" s="679"/>
      <c r="M109" s="678"/>
      <c r="N109" s="746">
        <v>0</v>
      </c>
      <c r="O109" s="680">
        <v>0</v>
      </c>
      <c r="P109" s="680">
        <v>0</v>
      </c>
      <c r="Q109" s="705">
        <v>0</v>
      </c>
      <c r="R109" s="680">
        <v>0</v>
      </c>
      <c r="S109" s="680">
        <v>93</v>
      </c>
      <c r="T109" s="680">
        <v>554.4</v>
      </c>
      <c r="U109" s="680">
        <v>554.4</v>
      </c>
      <c r="V109" s="680">
        <v>588</v>
      </c>
      <c r="W109" s="680">
        <v>588</v>
      </c>
      <c r="X109" s="680">
        <v>588</v>
      </c>
      <c r="Y109" s="680">
        <v>761.1</v>
      </c>
    </row>
    <row r="110" spans="1:27">
      <c r="A110" s="743" t="s">
        <v>821</v>
      </c>
      <c r="B110" s="661" t="s">
        <v>294</v>
      </c>
      <c r="C110" s="744" t="s">
        <v>822</v>
      </c>
      <c r="D110" s="663">
        <v>0</v>
      </c>
      <c r="E110" s="675">
        <v>0</v>
      </c>
      <c r="F110" s="665">
        <v>0</v>
      </c>
      <c r="G110" s="666">
        <v>2031.25</v>
      </c>
      <c r="H110" s="667">
        <v>0</v>
      </c>
      <c r="I110" s="668">
        <v>338.25</v>
      </c>
      <c r="J110" s="669">
        <v>437.5</v>
      </c>
      <c r="K110" s="678">
        <v>0</v>
      </c>
      <c r="L110" s="679"/>
      <c r="M110" s="678"/>
      <c r="N110" s="746">
        <v>0</v>
      </c>
      <c r="O110" s="680">
        <v>0</v>
      </c>
      <c r="P110" s="680">
        <v>0</v>
      </c>
      <c r="Q110" s="705">
        <v>0</v>
      </c>
      <c r="R110" s="680">
        <v>0</v>
      </c>
      <c r="S110" s="680">
        <v>0</v>
      </c>
      <c r="T110" s="680">
        <v>0</v>
      </c>
      <c r="U110" s="680">
        <v>0</v>
      </c>
      <c r="V110" s="680">
        <v>0</v>
      </c>
      <c r="W110" s="680">
        <v>0</v>
      </c>
      <c r="X110" s="680">
        <v>0</v>
      </c>
      <c r="Y110" s="680">
        <v>0</v>
      </c>
    </row>
    <row r="111" spans="1:27">
      <c r="A111" s="743" t="s">
        <v>823</v>
      </c>
      <c r="B111" s="661" t="s">
        <v>294</v>
      </c>
      <c r="C111" s="744" t="s">
        <v>824</v>
      </c>
      <c r="D111" s="663">
        <v>100</v>
      </c>
      <c r="E111" s="675">
        <v>0</v>
      </c>
      <c r="F111" s="665">
        <v>100</v>
      </c>
      <c r="G111" s="666">
        <v>2031.25</v>
      </c>
      <c r="H111" s="667">
        <v>0</v>
      </c>
      <c r="I111" s="668">
        <v>338.25</v>
      </c>
      <c r="J111" s="669">
        <v>437.5</v>
      </c>
      <c r="K111" s="678">
        <v>305.2</v>
      </c>
      <c r="L111" s="679"/>
      <c r="M111" s="678"/>
      <c r="N111" s="746">
        <v>0</v>
      </c>
      <c r="O111" s="680">
        <v>0</v>
      </c>
      <c r="P111" s="680">
        <v>0</v>
      </c>
      <c r="Q111" s="705">
        <v>0</v>
      </c>
      <c r="R111" s="680">
        <v>0</v>
      </c>
      <c r="S111" s="680">
        <v>0</v>
      </c>
      <c r="T111" s="680">
        <v>486.5</v>
      </c>
      <c r="U111" s="680">
        <v>486.5</v>
      </c>
      <c r="V111" s="680">
        <v>486.5</v>
      </c>
      <c r="W111" s="680">
        <v>486.5</v>
      </c>
      <c r="X111" s="680">
        <v>486.5</v>
      </c>
      <c r="Y111" s="680">
        <v>550.35</v>
      </c>
    </row>
    <row r="112" spans="1:27">
      <c r="A112" s="743" t="s">
        <v>825</v>
      </c>
      <c r="B112" s="743" t="s">
        <v>270</v>
      </c>
      <c r="C112" s="744" t="s">
        <v>826</v>
      </c>
      <c r="D112" s="663">
        <v>300</v>
      </c>
      <c r="E112" s="675">
        <v>0</v>
      </c>
      <c r="F112" s="665">
        <v>300</v>
      </c>
      <c r="G112" s="666">
        <v>2100</v>
      </c>
      <c r="H112" s="667">
        <v>0</v>
      </c>
      <c r="I112" s="668">
        <v>3250</v>
      </c>
      <c r="J112" s="669">
        <v>1250</v>
      </c>
      <c r="K112" s="678">
        <v>0</v>
      </c>
      <c r="L112" s="679"/>
      <c r="M112" s="678"/>
      <c r="N112" s="746">
        <v>0</v>
      </c>
      <c r="O112" s="680">
        <v>0</v>
      </c>
      <c r="P112" s="680">
        <v>0</v>
      </c>
      <c r="Q112" s="705">
        <v>0</v>
      </c>
      <c r="R112" s="680">
        <v>0</v>
      </c>
      <c r="S112" s="680">
        <v>0</v>
      </c>
      <c r="T112" s="680">
        <v>0</v>
      </c>
      <c r="U112" s="680">
        <v>0</v>
      </c>
      <c r="V112" s="680">
        <v>0</v>
      </c>
      <c r="W112" s="680">
        <v>0</v>
      </c>
      <c r="X112" s="680">
        <v>0</v>
      </c>
      <c r="Y112" s="680">
        <v>0</v>
      </c>
    </row>
    <row r="113" spans="1:27">
      <c r="A113" s="743" t="s">
        <v>827</v>
      </c>
      <c r="B113" s="661" t="s">
        <v>294</v>
      </c>
      <c r="C113" s="744" t="s">
        <v>828</v>
      </c>
      <c r="D113" s="663">
        <v>160</v>
      </c>
      <c r="E113" s="675">
        <v>0</v>
      </c>
      <c r="F113" s="665">
        <v>160</v>
      </c>
      <c r="G113" s="666">
        <v>2031.25</v>
      </c>
      <c r="H113" s="667">
        <v>0</v>
      </c>
      <c r="I113" s="668">
        <v>338.25</v>
      </c>
      <c r="J113" s="669">
        <v>437.5</v>
      </c>
      <c r="K113" s="678">
        <v>0</v>
      </c>
      <c r="L113" s="679"/>
      <c r="M113" s="678"/>
      <c r="N113" s="746">
        <v>0</v>
      </c>
      <c r="O113" s="680">
        <v>0</v>
      </c>
      <c r="P113" s="680">
        <v>0</v>
      </c>
      <c r="Q113" s="705">
        <v>0</v>
      </c>
      <c r="R113" s="680">
        <v>0</v>
      </c>
      <c r="S113" s="680">
        <v>0</v>
      </c>
      <c r="T113" s="680">
        <v>0</v>
      </c>
      <c r="U113" s="680">
        <v>0</v>
      </c>
      <c r="V113" s="680">
        <v>0</v>
      </c>
      <c r="W113" s="680">
        <v>0</v>
      </c>
      <c r="X113" s="680">
        <v>0</v>
      </c>
      <c r="Y113" s="680">
        <v>0</v>
      </c>
    </row>
    <row r="114" spans="1:27">
      <c r="A114" s="743" t="s">
        <v>829</v>
      </c>
      <c r="B114" s="661" t="s">
        <v>294</v>
      </c>
      <c r="C114" s="744" t="s">
        <v>830</v>
      </c>
      <c r="D114" s="663">
        <v>200</v>
      </c>
      <c r="E114" s="675">
        <v>0</v>
      </c>
      <c r="F114" s="665">
        <v>200</v>
      </c>
      <c r="G114" s="666">
        <v>2031.25</v>
      </c>
      <c r="H114" s="667">
        <v>0</v>
      </c>
      <c r="I114" s="668">
        <v>338.25</v>
      </c>
      <c r="J114" s="669">
        <v>437.5</v>
      </c>
      <c r="K114" s="678">
        <v>0</v>
      </c>
      <c r="L114" s="679"/>
      <c r="M114" s="678"/>
      <c r="N114" s="746">
        <v>0</v>
      </c>
      <c r="O114" s="680">
        <v>0</v>
      </c>
      <c r="P114" s="680">
        <v>0</v>
      </c>
      <c r="Q114" s="705">
        <v>0</v>
      </c>
      <c r="R114" s="680">
        <v>0</v>
      </c>
      <c r="S114" s="680">
        <v>0</v>
      </c>
      <c r="T114" s="680">
        <v>0</v>
      </c>
      <c r="U114" s="680">
        <v>0</v>
      </c>
      <c r="V114" s="680">
        <v>0</v>
      </c>
      <c r="W114" s="680">
        <v>0</v>
      </c>
      <c r="X114" s="680">
        <v>0</v>
      </c>
      <c r="Y114" s="680">
        <v>0</v>
      </c>
    </row>
    <row r="115" spans="1:27" s="76" customFormat="1">
      <c r="A115" s="682" t="s">
        <v>831</v>
      </c>
      <c r="B115" s="682"/>
      <c r="C115" s="683" t="s">
        <v>832</v>
      </c>
      <c r="D115" s="684"/>
      <c r="E115" s="685"/>
      <c r="F115" s="686"/>
      <c r="G115" s="696"/>
      <c r="H115" s="687"/>
      <c r="I115" s="698"/>
      <c r="J115" s="699"/>
      <c r="K115" s="700"/>
      <c r="L115" s="701"/>
      <c r="M115" s="700"/>
      <c r="N115" s="702"/>
      <c r="O115" s="704"/>
      <c r="P115" s="704"/>
      <c r="Q115" s="722"/>
      <c r="R115" s="704"/>
      <c r="S115" s="704"/>
      <c r="T115" s="704"/>
      <c r="U115" s="704"/>
      <c r="V115" s="704"/>
      <c r="W115" s="704"/>
      <c r="X115" s="704"/>
      <c r="Y115" s="704"/>
      <c r="Z115" s="74"/>
      <c r="AA115" s="75"/>
    </row>
    <row r="116" spans="1:27">
      <c r="A116" s="661" t="s">
        <v>833</v>
      </c>
      <c r="B116" s="674" t="s">
        <v>834</v>
      </c>
      <c r="C116" s="662" t="s">
        <v>835</v>
      </c>
      <c r="D116" s="663">
        <v>1500</v>
      </c>
      <c r="E116" s="675">
        <v>296</v>
      </c>
      <c r="F116" s="665">
        <v>1500</v>
      </c>
      <c r="G116" s="666">
        <v>1500</v>
      </c>
      <c r="H116" s="667">
        <v>2183.1999999999998</v>
      </c>
      <c r="I116" s="668">
        <v>3000</v>
      </c>
      <c r="J116" s="669">
        <v>6000</v>
      </c>
      <c r="K116" s="678">
        <v>5659.14</v>
      </c>
      <c r="L116" s="679"/>
      <c r="M116" s="678"/>
      <c r="N116" s="672">
        <v>53.72</v>
      </c>
      <c r="O116" s="680">
        <v>212.12</v>
      </c>
      <c r="P116" s="680">
        <v>319.07</v>
      </c>
      <c r="Q116" s="705">
        <v>512.47</v>
      </c>
      <c r="R116" s="680">
        <v>689.95</v>
      </c>
      <c r="S116" s="680">
        <v>883.35</v>
      </c>
      <c r="T116" s="680">
        <v>1883.51</v>
      </c>
      <c r="U116" s="680">
        <v>1977.51</v>
      </c>
      <c r="V116" s="680">
        <v>2326.56</v>
      </c>
      <c r="W116" s="680">
        <v>2788.71</v>
      </c>
      <c r="X116" s="680">
        <v>2788.71</v>
      </c>
      <c r="Y116" s="680">
        <v>2850.91</v>
      </c>
    </row>
    <row r="117" spans="1:27">
      <c r="A117" s="661" t="s">
        <v>836</v>
      </c>
      <c r="B117" s="661" t="s">
        <v>264</v>
      </c>
      <c r="C117" s="662" t="s">
        <v>837</v>
      </c>
      <c r="D117" s="663">
        <v>100</v>
      </c>
      <c r="E117" s="675">
        <v>0</v>
      </c>
      <c r="F117" s="665">
        <v>100</v>
      </c>
      <c r="G117" s="666">
        <v>500</v>
      </c>
      <c r="H117" s="667">
        <v>0</v>
      </c>
      <c r="I117" s="668">
        <v>1500</v>
      </c>
      <c r="J117" s="669">
        <v>1000</v>
      </c>
      <c r="K117" s="678">
        <v>30</v>
      </c>
      <c r="L117" s="679"/>
      <c r="M117" s="678"/>
      <c r="N117" s="672">
        <v>0</v>
      </c>
      <c r="O117" s="680">
        <v>0</v>
      </c>
      <c r="P117" s="680">
        <v>0</v>
      </c>
      <c r="Q117" s="705">
        <v>0</v>
      </c>
      <c r="R117" s="680">
        <v>0</v>
      </c>
      <c r="S117" s="680">
        <v>0</v>
      </c>
      <c r="T117" s="680">
        <v>0</v>
      </c>
      <c r="U117" s="680">
        <v>0</v>
      </c>
      <c r="V117" s="680">
        <v>0</v>
      </c>
      <c r="W117" s="680">
        <v>0</v>
      </c>
      <c r="X117" s="680">
        <v>0</v>
      </c>
      <c r="Y117" s="680">
        <v>0</v>
      </c>
    </row>
    <row r="118" spans="1:27" s="76" customFormat="1">
      <c r="A118" s="682" t="s">
        <v>838</v>
      </c>
      <c r="B118" s="682"/>
      <c r="C118" s="683" t="s">
        <v>839</v>
      </c>
      <c r="D118" s="684"/>
      <c r="E118" s="685"/>
      <c r="F118" s="686"/>
      <c r="G118" s="696"/>
      <c r="H118" s="687"/>
      <c r="I118" s="698"/>
      <c r="J118" s="699"/>
      <c r="K118" s="700"/>
      <c r="L118" s="701"/>
      <c r="M118" s="700"/>
      <c r="N118" s="702"/>
      <c r="O118" s="704"/>
      <c r="P118" s="704"/>
      <c r="Q118" s="722"/>
      <c r="R118" s="704"/>
      <c r="S118" s="704"/>
      <c r="T118" s="704"/>
      <c r="U118" s="704"/>
      <c r="V118" s="704"/>
      <c r="W118" s="704"/>
      <c r="X118" s="704"/>
      <c r="Y118" s="704"/>
      <c r="Z118" s="74"/>
      <c r="AA118" s="75"/>
    </row>
    <row r="119" spans="1:27">
      <c r="A119" s="661" t="s">
        <v>290</v>
      </c>
      <c r="B119" s="661" t="s">
        <v>319</v>
      </c>
      <c r="C119" s="662" t="s">
        <v>840</v>
      </c>
      <c r="D119" s="663">
        <v>2500</v>
      </c>
      <c r="E119" s="675">
        <v>732.35</v>
      </c>
      <c r="F119" s="665">
        <v>2500</v>
      </c>
      <c r="G119" s="666">
        <v>5050</v>
      </c>
      <c r="H119" s="667">
        <v>1080.08</v>
      </c>
      <c r="I119" s="668">
        <v>2548</v>
      </c>
      <c r="J119" s="669">
        <v>2000</v>
      </c>
      <c r="K119" s="678">
        <v>1373.81</v>
      </c>
      <c r="L119" s="679"/>
      <c r="M119" s="678"/>
      <c r="N119" s="705">
        <v>17.52</v>
      </c>
      <c r="O119" s="680">
        <v>145.96</v>
      </c>
      <c r="P119" s="680">
        <v>501.5</v>
      </c>
      <c r="Q119" s="705">
        <v>501.5</v>
      </c>
      <c r="R119" s="680">
        <v>501.5</v>
      </c>
      <c r="S119" s="680">
        <v>545.03</v>
      </c>
      <c r="T119" s="680">
        <v>844.83</v>
      </c>
      <c r="U119" s="680">
        <v>844.83</v>
      </c>
      <c r="V119" s="680">
        <v>1005.41</v>
      </c>
      <c r="W119" s="680">
        <v>1033.31</v>
      </c>
      <c r="X119" s="680">
        <v>1210.95</v>
      </c>
      <c r="Y119" s="680">
        <v>1584.41</v>
      </c>
    </row>
    <row r="120" spans="1:27">
      <c r="A120" s="661" t="s">
        <v>291</v>
      </c>
      <c r="B120" s="661" t="s">
        <v>318</v>
      </c>
      <c r="C120" s="662" t="s">
        <v>841</v>
      </c>
      <c r="D120" s="663">
        <v>2500</v>
      </c>
      <c r="E120" s="675">
        <v>1810.85</v>
      </c>
      <c r="F120" s="665">
        <v>2500</v>
      </c>
      <c r="G120" s="666">
        <v>2500</v>
      </c>
      <c r="H120" s="695">
        <v>3595.33</v>
      </c>
      <c r="I120" s="668">
        <v>8000</v>
      </c>
      <c r="J120" s="669">
        <v>6000</v>
      </c>
      <c r="K120" s="678">
        <v>3574.56</v>
      </c>
      <c r="L120" s="679"/>
      <c r="M120" s="678"/>
      <c r="N120" s="705">
        <v>0</v>
      </c>
      <c r="O120" s="680">
        <v>132.75</v>
      </c>
      <c r="P120" s="680">
        <v>132.75</v>
      </c>
      <c r="Q120" s="705">
        <v>132.75</v>
      </c>
      <c r="R120" s="680">
        <v>339.25</v>
      </c>
      <c r="S120" s="680">
        <v>339.25</v>
      </c>
      <c r="T120" s="680">
        <v>375.07</v>
      </c>
      <c r="U120" s="680">
        <v>375.07</v>
      </c>
      <c r="V120" s="680">
        <v>375.07</v>
      </c>
      <c r="W120" s="680">
        <v>375.07</v>
      </c>
      <c r="X120" s="680">
        <v>459.42</v>
      </c>
      <c r="Y120" s="680">
        <v>459.42</v>
      </c>
    </row>
    <row r="121" spans="1:27">
      <c r="A121" s="661" t="s">
        <v>294</v>
      </c>
      <c r="B121" s="661" t="s">
        <v>321</v>
      </c>
      <c r="C121" s="662" t="s">
        <v>842</v>
      </c>
      <c r="D121" s="663">
        <v>100</v>
      </c>
      <c r="E121" s="675">
        <v>0</v>
      </c>
      <c r="F121" s="665">
        <v>100</v>
      </c>
      <c r="G121" s="666">
        <v>1000</v>
      </c>
      <c r="H121" s="667">
        <v>214.9</v>
      </c>
      <c r="I121" s="668">
        <v>1000</v>
      </c>
      <c r="J121" s="669">
        <v>500</v>
      </c>
      <c r="K121" s="678">
        <v>0</v>
      </c>
      <c r="L121" s="679"/>
      <c r="M121" s="678"/>
      <c r="N121" s="705">
        <v>0</v>
      </c>
      <c r="O121" s="680">
        <v>0</v>
      </c>
      <c r="P121" s="680">
        <v>0</v>
      </c>
      <c r="Q121" s="705">
        <v>0</v>
      </c>
      <c r="R121" s="680">
        <v>0</v>
      </c>
      <c r="S121" s="680">
        <v>0</v>
      </c>
      <c r="T121" s="680">
        <v>0</v>
      </c>
      <c r="U121" s="680">
        <v>0</v>
      </c>
      <c r="V121" s="680">
        <v>0</v>
      </c>
      <c r="W121" s="680">
        <v>0</v>
      </c>
      <c r="X121" s="680">
        <v>0</v>
      </c>
      <c r="Y121" s="680">
        <v>0</v>
      </c>
    </row>
    <row r="122" spans="1:27" s="76" customFormat="1">
      <c r="A122" s="682"/>
      <c r="B122" s="682"/>
      <c r="C122" s="683" t="s">
        <v>843</v>
      </c>
      <c r="D122" s="684"/>
      <c r="E122" s="685"/>
      <c r="F122" s="686"/>
      <c r="G122" s="696"/>
      <c r="H122" s="687"/>
      <c r="I122" s="698"/>
      <c r="J122" s="699"/>
      <c r="K122" s="690"/>
      <c r="L122" s="691"/>
      <c r="M122" s="690"/>
      <c r="N122" s="702"/>
      <c r="O122" s="704"/>
      <c r="P122" s="704"/>
      <c r="Q122" s="722"/>
      <c r="R122" s="704"/>
      <c r="S122" s="704"/>
      <c r="T122" s="704"/>
      <c r="U122" s="704"/>
      <c r="V122" s="704"/>
      <c r="W122" s="704"/>
      <c r="X122" s="694"/>
      <c r="Y122" s="694"/>
      <c r="Z122" s="74"/>
      <c r="AA122" s="75"/>
    </row>
    <row r="123" spans="1:27">
      <c r="A123" s="661" t="s">
        <v>318</v>
      </c>
      <c r="B123" s="661" t="s">
        <v>339</v>
      </c>
      <c r="C123" s="662" t="s">
        <v>844</v>
      </c>
      <c r="D123" s="663">
        <v>155000</v>
      </c>
      <c r="E123" s="675">
        <v>126134.02</v>
      </c>
      <c r="F123" s="665">
        <v>155000</v>
      </c>
      <c r="G123" s="666">
        <v>85000</v>
      </c>
      <c r="H123" s="667">
        <v>0</v>
      </c>
      <c r="I123" s="668">
        <v>0</v>
      </c>
      <c r="J123" s="669">
        <v>0</v>
      </c>
      <c r="K123" s="678">
        <v>0</v>
      </c>
      <c r="L123" s="679"/>
      <c r="M123" s="678"/>
      <c r="N123" s="672">
        <v>0</v>
      </c>
      <c r="O123" s="680">
        <v>0</v>
      </c>
      <c r="P123" s="680">
        <v>0</v>
      </c>
      <c r="Q123" s="705">
        <v>0</v>
      </c>
      <c r="R123" s="680">
        <v>0</v>
      </c>
      <c r="S123" s="680">
        <v>0</v>
      </c>
      <c r="T123" s="680">
        <v>0</v>
      </c>
      <c r="U123" s="680">
        <v>0</v>
      </c>
      <c r="V123" s="680">
        <v>0</v>
      </c>
      <c r="W123" s="680">
        <v>0</v>
      </c>
      <c r="X123" s="680">
        <v>0</v>
      </c>
      <c r="Y123" s="680">
        <v>0</v>
      </c>
    </row>
    <row r="124" spans="1:27">
      <c r="A124" s="661" t="s">
        <v>319</v>
      </c>
      <c r="B124" s="661" t="s">
        <v>341</v>
      </c>
      <c r="C124" s="662" t="s">
        <v>845</v>
      </c>
      <c r="D124" s="663">
        <v>205000</v>
      </c>
      <c r="E124" s="675">
        <v>185309.52</v>
      </c>
      <c r="F124" s="665">
        <v>205000</v>
      </c>
      <c r="G124" s="666">
        <v>125000</v>
      </c>
      <c r="H124" s="667">
        <v>0</v>
      </c>
      <c r="I124" s="668">
        <v>0</v>
      </c>
      <c r="J124" s="669">
        <v>0</v>
      </c>
      <c r="K124" s="678">
        <v>0</v>
      </c>
      <c r="L124" s="679"/>
      <c r="M124" s="678"/>
      <c r="N124" s="672">
        <v>0</v>
      </c>
      <c r="O124" s="680">
        <v>0</v>
      </c>
      <c r="P124" s="680">
        <v>0</v>
      </c>
      <c r="Q124" s="705">
        <v>0</v>
      </c>
      <c r="R124" s="680">
        <v>0</v>
      </c>
      <c r="S124" s="680">
        <v>0</v>
      </c>
      <c r="T124" s="680">
        <v>0</v>
      </c>
      <c r="U124" s="680">
        <v>0</v>
      </c>
      <c r="V124" s="680">
        <v>0</v>
      </c>
      <c r="W124" s="680">
        <v>0</v>
      </c>
      <c r="X124" s="680">
        <v>0</v>
      </c>
      <c r="Y124" s="680">
        <v>0</v>
      </c>
    </row>
    <row r="125" spans="1:27">
      <c r="A125" s="661" t="s">
        <v>321</v>
      </c>
      <c r="B125" s="661" t="s">
        <v>343</v>
      </c>
      <c r="C125" s="662" t="s">
        <v>846</v>
      </c>
      <c r="D125" s="663">
        <v>2000</v>
      </c>
      <c r="E125" s="675">
        <v>1208.06</v>
      </c>
      <c r="F125" s="665">
        <v>2000</v>
      </c>
      <c r="G125" s="666">
        <v>2000</v>
      </c>
      <c r="H125" s="667">
        <v>560.08000000000004</v>
      </c>
      <c r="I125" s="668">
        <v>1000</v>
      </c>
      <c r="J125" s="669">
        <v>1600</v>
      </c>
      <c r="K125" s="678">
        <v>986.08</v>
      </c>
      <c r="L125" s="679"/>
      <c r="M125" s="678"/>
      <c r="N125" s="672">
        <v>0</v>
      </c>
      <c r="O125" s="680">
        <v>0</v>
      </c>
      <c r="P125" s="680">
        <v>133.33000000000001</v>
      </c>
      <c r="Q125" s="705">
        <v>133.33000000000001</v>
      </c>
      <c r="R125" s="680">
        <v>133.33000000000001</v>
      </c>
      <c r="S125" s="680">
        <v>369.98</v>
      </c>
      <c r="T125" s="680">
        <v>369.98</v>
      </c>
      <c r="U125" s="680">
        <v>369.98</v>
      </c>
      <c r="V125" s="680">
        <v>587.95000000000005</v>
      </c>
      <c r="W125" s="680">
        <v>587.95000000000005</v>
      </c>
      <c r="X125" s="680">
        <v>587.95000000000005</v>
      </c>
      <c r="Y125" s="680">
        <v>587.95000000000005</v>
      </c>
    </row>
    <row r="126" spans="1:27">
      <c r="A126" s="661" t="s">
        <v>323</v>
      </c>
      <c r="B126" s="661" t="s">
        <v>345</v>
      </c>
      <c r="C126" s="662" t="s">
        <v>847</v>
      </c>
      <c r="D126" s="663">
        <v>2000</v>
      </c>
      <c r="E126" s="675">
        <v>0</v>
      </c>
      <c r="F126" s="665">
        <v>2000</v>
      </c>
      <c r="G126" s="666">
        <v>2000</v>
      </c>
      <c r="H126" s="667">
        <v>0</v>
      </c>
      <c r="I126" s="668">
        <v>3000</v>
      </c>
      <c r="J126" s="669">
        <v>100</v>
      </c>
      <c r="K126" s="678">
        <v>0</v>
      </c>
      <c r="L126" s="679"/>
      <c r="M126" s="678"/>
      <c r="N126" s="672">
        <v>0</v>
      </c>
      <c r="O126" s="680">
        <v>0</v>
      </c>
      <c r="P126" s="680">
        <v>0</v>
      </c>
      <c r="Q126" s="705">
        <v>0</v>
      </c>
      <c r="R126" s="680">
        <v>0</v>
      </c>
      <c r="S126" s="680">
        <v>0</v>
      </c>
      <c r="T126" s="680">
        <v>0</v>
      </c>
      <c r="U126" s="680">
        <v>0</v>
      </c>
      <c r="V126" s="680">
        <v>0</v>
      </c>
      <c r="W126" s="680">
        <v>0</v>
      </c>
      <c r="X126" s="680">
        <v>0</v>
      </c>
      <c r="Y126" s="680">
        <v>0</v>
      </c>
    </row>
    <row r="127" spans="1:27" s="76" customFormat="1">
      <c r="A127" s="682" t="s">
        <v>848</v>
      </c>
      <c r="B127" s="682"/>
      <c r="C127" s="683" t="s">
        <v>849</v>
      </c>
      <c r="D127" s="684"/>
      <c r="E127" s="747"/>
      <c r="F127" s="686"/>
      <c r="G127" s="696"/>
      <c r="H127" s="748"/>
      <c r="I127" s="698"/>
      <c r="J127" s="699"/>
      <c r="K127" s="749"/>
      <c r="L127" s="750"/>
      <c r="M127" s="749"/>
      <c r="N127" s="702"/>
      <c r="O127" s="703"/>
      <c r="P127" s="703"/>
      <c r="Q127" s="722"/>
      <c r="R127" s="704"/>
      <c r="S127" s="704"/>
      <c r="T127" s="704"/>
      <c r="U127" s="704"/>
      <c r="V127" s="703"/>
      <c r="W127" s="703"/>
      <c r="X127" s="693"/>
      <c r="Y127" s="693"/>
      <c r="Z127" s="74"/>
      <c r="AA127" s="75"/>
    </row>
    <row r="128" spans="1:27">
      <c r="A128" s="661" t="s">
        <v>850</v>
      </c>
      <c r="B128" s="661" t="s">
        <v>358</v>
      </c>
      <c r="C128" s="662" t="s">
        <v>851</v>
      </c>
      <c r="D128" s="663">
        <v>500</v>
      </c>
      <c r="E128" s="751">
        <v>0</v>
      </c>
      <c r="F128" s="665">
        <v>500</v>
      </c>
      <c r="G128" s="666">
        <v>1262.5</v>
      </c>
      <c r="H128" s="752">
        <v>0</v>
      </c>
      <c r="I128" s="668">
        <v>318.5</v>
      </c>
      <c r="J128" s="669">
        <v>312.5</v>
      </c>
      <c r="K128" s="670">
        <v>0</v>
      </c>
      <c r="L128" s="671"/>
      <c r="M128" s="670"/>
      <c r="N128" s="672">
        <v>0</v>
      </c>
      <c r="O128" s="673">
        <v>0</v>
      </c>
      <c r="P128" s="673">
        <v>0</v>
      </c>
      <c r="Q128" s="705">
        <v>0</v>
      </c>
      <c r="R128" s="680">
        <v>0</v>
      </c>
      <c r="S128" s="680">
        <v>2106.29</v>
      </c>
      <c r="T128" s="680">
        <v>2106.29</v>
      </c>
      <c r="U128" s="680">
        <v>2106.29</v>
      </c>
      <c r="V128" s="673">
        <v>2106.29</v>
      </c>
      <c r="W128" s="673">
        <v>2106.29</v>
      </c>
      <c r="X128" s="673">
        <v>2106.29</v>
      </c>
      <c r="Y128" s="673">
        <v>2106.29</v>
      </c>
    </row>
    <row r="129" spans="1:27">
      <c r="A129" s="661" t="s">
        <v>852</v>
      </c>
      <c r="B129" s="661" t="s">
        <v>358</v>
      </c>
      <c r="C129" s="662" t="s">
        <v>346</v>
      </c>
      <c r="D129" s="663">
        <v>200</v>
      </c>
      <c r="E129" s="751">
        <v>0</v>
      </c>
      <c r="F129" s="665">
        <v>200</v>
      </c>
      <c r="G129" s="666">
        <v>1262.5</v>
      </c>
      <c r="H129" s="752">
        <v>0</v>
      </c>
      <c r="I129" s="668">
        <v>318.5</v>
      </c>
      <c r="J129" s="669">
        <v>312.5</v>
      </c>
      <c r="K129" s="670">
        <v>0</v>
      </c>
      <c r="L129" s="671"/>
      <c r="M129" s="670"/>
      <c r="N129" s="672">
        <v>0</v>
      </c>
      <c r="O129" s="673">
        <v>0</v>
      </c>
      <c r="P129" s="673">
        <v>0</v>
      </c>
      <c r="Q129" s="705">
        <v>0</v>
      </c>
      <c r="R129" s="680">
        <v>0</v>
      </c>
      <c r="S129" s="680">
        <v>0</v>
      </c>
      <c r="T129" s="680">
        <v>0</v>
      </c>
      <c r="U129" s="680">
        <v>0</v>
      </c>
      <c r="V129" s="673">
        <v>0</v>
      </c>
      <c r="W129" s="673">
        <v>0</v>
      </c>
      <c r="X129" s="673">
        <v>0</v>
      </c>
      <c r="Y129" s="673">
        <v>0</v>
      </c>
    </row>
    <row r="130" spans="1:27">
      <c r="A130" s="661" t="s">
        <v>853</v>
      </c>
      <c r="B130" s="661" t="s">
        <v>358</v>
      </c>
      <c r="C130" s="662" t="s">
        <v>854</v>
      </c>
      <c r="D130" s="663">
        <v>500</v>
      </c>
      <c r="E130" s="751">
        <v>480</v>
      </c>
      <c r="F130" s="665">
        <v>500</v>
      </c>
      <c r="G130" s="666">
        <v>1262.5</v>
      </c>
      <c r="H130" s="752">
        <v>0</v>
      </c>
      <c r="I130" s="668">
        <v>318.5</v>
      </c>
      <c r="J130" s="669">
        <v>312.5</v>
      </c>
      <c r="K130" s="670">
        <v>0</v>
      </c>
      <c r="L130" s="671"/>
      <c r="M130" s="670"/>
      <c r="N130" s="672">
        <v>0</v>
      </c>
      <c r="O130" s="673">
        <v>0</v>
      </c>
      <c r="P130" s="673">
        <v>0</v>
      </c>
      <c r="Q130" s="705">
        <v>0</v>
      </c>
      <c r="R130" s="680">
        <v>0</v>
      </c>
      <c r="S130" s="680">
        <v>0</v>
      </c>
      <c r="T130" s="680">
        <v>0</v>
      </c>
      <c r="U130" s="680">
        <v>0</v>
      </c>
      <c r="V130" s="673">
        <v>0</v>
      </c>
      <c r="W130" s="673">
        <v>0</v>
      </c>
      <c r="X130" s="673">
        <v>0</v>
      </c>
      <c r="Y130" s="673">
        <v>0</v>
      </c>
    </row>
    <row r="131" spans="1:27" s="76" customFormat="1">
      <c r="A131" s="682" t="s">
        <v>855</v>
      </c>
      <c r="B131" s="682"/>
      <c r="C131" s="683" t="s">
        <v>856</v>
      </c>
      <c r="D131" s="684"/>
      <c r="E131" s="716"/>
      <c r="F131" s="686"/>
      <c r="G131" s="696"/>
      <c r="H131" s="717"/>
      <c r="I131" s="698"/>
      <c r="J131" s="699"/>
      <c r="K131" s="749"/>
      <c r="L131" s="750"/>
      <c r="M131" s="749"/>
      <c r="N131" s="702"/>
      <c r="O131" s="703"/>
      <c r="P131" s="703"/>
      <c r="Q131" s="722"/>
      <c r="R131" s="704"/>
      <c r="S131" s="704"/>
      <c r="T131" s="704"/>
      <c r="U131" s="704"/>
      <c r="V131" s="703"/>
      <c r="W131" s="703"/>
      <c r="X131" s="693"/>
      <c r="Y131" s="693"/>
      <c r="Z131" s="74"/>
      <c r="AA131" s="75"/>
    </row>
    <row r="132" spans="1:27">
      <c r="A132" s="731" t="s">
        <v>857</v>
      </c>
      <c r="B132" s="731" t="s">
        <v>361</v>
      </c>
      <c r="C132" s="732" t="s">
        <v>858</v>
      </c>
      <c r="D132" s="663">
        <v>500</v>
      </c>
      <c r="E132" s="751">
        <v>0</v>
      </c>
      <c r="F132" s="665">
        <v>500</v>
      </c>
      <c r="G132" s="666">
        <v>788.3</v>
      </c>
      <c r="H132" s="752">
        <v>338.4</v>
      </c>
      <c r="I132" s="668">
        <v>3798.5</v>
      </c>
      <c r="J132" s="669">
        <v>833.33</v>
      </c>
      <c r="K132" s="670">
        <v>0</v>
      </c>
      <c r="L132" s="671"/>
      <c r="M132" s="670"/>
      <c r="N132" s="672">
        <v>778.8</v>
      </c>
      <c r="O132" s="673">
        <v>1146.56</v>
      </c>
      <c r="P132" s="673">
        <v>1146.56</v>
      </c>
      <c r="Q132" s="705">
        <v>1146.56</v>
      </c>
      <c r="R132" s="680">
        <v>1146.56</v>
      </c>
      <c r="S132" s="680">
        <v>1146.56</v>
      </c>
      <c r="T132" s="680">
        <v>1146.56</v>
      </c>
      <c r="U132" s="680">
        <v>1146.56</v>
      </c>
      <c r="V132" s="673">
        <v>1146.56</v>
      </c>
      <c r="W132" s="673">
        <v>1146.56</v>
      </c>
      <c r="X132" s="673">
        <v>1146.56</v>
      </c>
      <c r="Y132" s="673">
        <v>1146.56</v>
      </c>
    </row>
    <row r="133" spans="1:27">
      <c r="A133" s="731" t="s">
        <v>859</v>
      </c>
      <c r="B133" s="731" t="s">
        <v>270</v>
      </c>
      <c r="C133" s="732" t="s">
        <v>860</v>
      </c>
      <c r="D133" s="663">
        <v>500</v>
      </c>
      <c r="E133" s="751">
        <v>0</v>
      </c>
      <c r="F133" s="665">
        <v>500</v>
      </c>
      <c r="G133" s="666">
        <v>2100</v>
      </c>
      <c r="H133" s="752">
        <v>369</v>
      </c>
      <c r="I133" s="668">
        <v>3250</v>
      </c>
      <c r="J133" s="669">
        <v>1250</v>
      </c>
      <c r="K133" s="670">
        <v>1103.5899999999999</v>
      </c>
      <c r="L133" s="671"/>
      <c r="M133" s="670"/>
      <c r="N133" s="672">
        <v>1510.24</v>
      </c>
      <c r="O133" s="673">
        <v>1510.24</v>
      </c>
      <c r="P133" s="673">
        <v>1577.98</v>
      </c>
      <c r="Q133" s="705">
        <v>1577.98</v>
      </c>
      <c r="R133" s="680">
        <v>1577.98</v>
      </c>
      <c r="S133" s="680">
        <v>1577.98</v>
      </c>
      <c r="T133" s="680">
        <v>1577.98</v>
      </c>
      <c r="U133" s="680">
        <v>1577.98</v>
      </c>
      <c r="V133" s="673">
        <v>1631.98</v>
      </c>
      <c r="W133" s="673">
        <v>1631.98</v>
      </c>
      <c r="X133" s="673">
        <v>1631.98</v>
      </c>
      <c r="Y133" s="673">
        <v>1631.98</v>
      </c>
    </row>
    <row r="134" spans="1:27">
      <c r="A134" s="731" t="s">
        <v>861</v>
      </c>
      <c r="B134" s="661" t="s">
        <v>358</v>
      </c>
      <c r="C134" s="732" t="s">
        <v>862</v>
      </c>
      <c r="D134" s="663">
        <v>800</v>
      </c>
      <c r="E134" s="751">
        <v>0</v>
      </c>
      <c r="F134" s="665">
        <v>800</v>
      </c>
      <c r="G134" s="666">
        <v>1262.5</v>
      </c>
      <c r="H134" s="752">
        <v>555</v>
      </c>
      <c r="I134" s="668">
        <v>318.5</v>
      </c>
      <c r="J134" s="669">
        <v>312.5</v>
      </c>
      <c r="K134" s="670">
        <v>2050</v>
      </c>
      <c r="L134" s="671"/>
      <c r="M134" s="670"/>
      <c r="N134" s="672">
        <v>0</v>
      </c>
      <c r="O134" s="673">
        <v>0</v>
      </c>
      <c r="P134" s="673">
        <v>0</v>
      </c>
      <c r="Q134" s="705">
        <v>0</v>
      </c>
      <c r="R134" s="680">
        <v>0</v>
      </c>
      <c r="S134" s="680">
        <v>0</v>
      </c>
      <c r="T134" s="680">
        <v>0</v>
      </c>
      <c r="U134" s="680">
        <v>0</v>
      </c>
      <c r="V134" s="673">
        <v>0</v>
      </c>
      <c r="W134" s="673">
        <v>0</v>
      </c>
      <c r="X134" s="673">
        <v>0</v>
      </c>
      <c r="Y134" s="673">
        <v>0</v>
      </c>
    </row>
    <row r="135" spans="1:27">
      <c r="A135" s="731" t="s">
        <v>863</v>
      </c>
      <c r="B135" s="753" t="s">
        <v>864</v>
      </c>
      <c r="C135" s="732" t="s">
        <v>865</v>
      </c>
      <c r="D135" s="663">
        <v>100</v>
      </c>
      <c r="E135" s="751">
        <v>0</v>
      </c>
      <c r="F135" s="665">
        <v>100</v>
      </c>
      <c r="G135" s="666">
        <v>4950</v>
      </c>
      <c r="H135" s="752">
        <v>0</v>
      </c>
      <c r="I135" s="668">
        <v>19138.330000000002</v>
      </c>
      <c r="J135" s="669">
        <v>1166.6600000000001</v>
      </c>
      <c r="K135" s="670">
        <v>0</v>
      </c>
      <c r="L135" s="671"/>
      <c r="M135" s="670"/>
      <c r="N135" s="672">
        <v>417.99</v>
      </c>
      <c r="O135" s="673">
        <v>417.99</v>
      </c>
      <c r="P135" s="673">
        <v>417.99</v>
      </c>
      <c r="Q135" s="705">
        <v>417.99</v>
      </c>
      <c r="R135" s="680">
        <v>417.99</v>
      </c>
      <c r="S135" s="680">
        <v>417.99</v>
      </c>
      <c r="T135" s="680">
        <v>417.99</v>
      </c>
      <c r="U135" s="680">
        <v>417.99</v>
      </c>
      <c r="V135" s="673">
        <v>417.99</v>
      </c>
      <c r="W135" s="673">
        <v>417.99</v>
      </c>
      <c r="X135" s="673">
        <v>417.99</v>
      </c>
      <c r="Y135" s="673">
        <v>417.99</v>
      </c>
    </row>
    <row r="136" spans="1:27">
      <c r="A136" s="736" t="s">
        <v>866</v>
      </c>
      <c r="B136" s="736"/>
      <c r="C136" s="737" t="s">
        <v>867</v>
      </c>
      <c r="D136" s="663"/>
      <c r="E136" s="751"/>
      <c r="F136" s="665"/>
      <c r="G136" s="675"/>
      <c r="H136" s="752"/>
      <c r="I136" s="754"/>
      <c r="J136" s="681"/>
      <c r="K136" s="670"/>
      <c r="L136" s="671"/>
      <c r="M136" s="670"/>
      <c r="N136" s="672">
        <v>0</v>
      </c>
      <c r="O136" s="673">
        <v>0</v>
      </c>
      <c r="P136" s="673">
        <v>0</v>
      </c>
      <c r="Q136" s="705">
        <v>0</v>
      </c>
      <c r="R136" s="680">
        <v>0</v>
      </c>
      <c r="S136" s="680">
        <v>0</v>
      </c>
      <c r="T136" s="680">
        <v>0</v>
      </c>
      <c r="U136" s="680">
        <v>0</v>
      </c>
      <c r="V136" s="673">
        <v>0</v>
      </c>
      <c r="W136" s="673">
        <v>0</v>
      </c>
      <c r="X136" s="673">
        <v>0</v>
      </c>
      <c r="Y136" s="673">
        <v>0</v>
      </c>
    </row>
    <row r="137" spans="1:27" s="76" customFormat="1">
      <c r="A137" s="682" t="s">
        <v>868</v>
      </c>
      <c r="B137" s="682"/>
      <c r="C137" s="683" t="s">
        <v>869</v>
      </c>
      <c r="D137" s="684"/>
      <c r="E137" s="716"/>
      <c r="F137" s="686"/>
      <c r="G137" s="696"/>
      <c r="H137" s="717"/>
      <c r="I137" s="698"/>
      <c r="J137" s="699"/>
      <c r="K137" s="749"/>
      <c r="L137" s="750"/>
      <c r="M137" s="749"/>
      <c r="N137" s="702"/>
      <c r="O137" s="704"/>
      <c r="P137" s="704"/>
      <c r="Q137" s="722"/>
      <c r="R137" s="704"/>
      <c r="S137" s="704"/>
      <c r="T137" s="704"/>
      <c r="U137" s="704"/>
      <c r="V137" s="703"/>
      <c r="W137" s="703"/>
      <c r="X137" s="693"/>
      <c r="Y137" s="693"/>
      <c r="Z137" s="74"/>
      <c r="AA137" s="75"/>
    </row>
    <row r="138" spans="1:27" s="76" customFormat="1">
      <c r="A138" s="682" t="s">
        <v>870</v>
      </c>
      <c r="B138" s="682"/>
      <c r="C138" s="683" t="s">
        <v>871</v>
      </c>
      <c r="D138" s="684"/>
      <c r="E138" s="716"/>
      <c r="F138" s="686"/>
      <c r="G138" s="696"/>
      <c r="H138" s="717"/>
      <c r="I138" s="698"/>
      <c r="J138" s="699"/>
      <c r="K138" s="749"/>
      <c r="L138" s="750"/>
      <c r="M138" s="749"/>
      <c r="N138" s="702"/>
      <c r="O138" s="704"/>
      <c r="P138" s="704"/>
      <c r="Q138" s="722"/>
      <c r="R138" s="704"/>
      <c r="S138" s="704"/>
      <c r="T138" s="704"/>
      <c r="U138" s="704"/>
      <c r="V138" s="703"/>
      <c r="W138" s="703"/>
      <c r="X138" s="693"/>
      <c r="Y138" s="693"/>
      <c r="Z138" s="74"/>
      <c r="AA138" s="75"/>
    </row>
    <row r="139" spans="1:27">
      <c r="A139" s="661" t="s">
        <v>472</v>
      </c>
      <c r="B139" s="661" t="s">
        <v>471</v>
      </c>
      <c r="C139" s="662" t="s">
        <v>473</v>
      </c>
      <c r="D139" s="663">
        <v>800</v>
      </c>
      <c r="E139" s="675">
        <v>800</v>
      </c>
      <c r="F139" s="665">
        <v>800</v>
      </c>
      <c r="G139" s="666">
        <v>5600</v>
      </c>
      <c r="H139" s="667">
        <v>0</v>
      </c>
      <c r="I139" s="668">
        <v>5600</v>
      </c>
      <c r="J139" s="669">
        <v>1600</v>
      </c>
      <c r="K139" s="678">
        <v>0</v>
      </c>
      <c r="L139" s="679"/>
      <c r="M139" s="678"/>
      <c r="N139" s="672">
        <v>0</v>
      </c>
      <c r="O139" s="680">
        <v>0</v>
      </c>
      <c r="P139" s="680">
        <v>0</v>
      </c>
      <c r="Q139" s="705">
        <v>0</v>
      </c>
      <c r="R139" s="680">
        <v>0</v>
      </c>
      <c r="S139" s="680">
        <v>0</v>
      </c>
      <c r="T139" s="680">
        <v>0</v>
      </c>
      <c r="U139" s="680">
        <v>0</v>
      </c>
      <c r="V139" s="680">
        <v>0</v>
      </c>
      <c r="W139" s="680">
        <v>0</v>
      </c>
      <c r="X139" s="680">
        <v>0</v>
      </c>
      <c r="Y139" s="680">
        <v>1290.67</v>
      </c>
    </row>
    <row r="140" spans="1:27">
      <c r="A140" s="661" t="s">
        <v>475</v>
      </c>
      <c r="B140" s="661" t="s">
        <v>474</v>
      </c>
      <c r="C140" s="662" t="s">
        <v>476</v>
      </c>
      <c r="D140" s="663">
        <v>500</v>
      </c>
      <c r="E140" s="664">
        <v>595</v>
      </c>
      <c r="F140" s="665">
        <v>500</v>
      </c>
      <c r="G140" s="666">
        <v>3000</v>
      </c>
      <c r="H140" s="667">
        <v>0</v>
      </c>
      <c r="I140" s="668">
        <v>3000</v>
      </c>
      <c r="J140" s="669">
        <v>1000</v>
      </c>
      <c r="K140" s="678">
        <v>0</v>
      </c>
      <c r="L140" s="679"/>
      <c r="M140" s="678"/>
      <c r="N140" s="672">
        <v>0</v>
      </c>
      <c r="O140" s="680">
        <v>0</v>
      </c>
      <c r="P140" s="680">
        <v>0</v>
      </c>
      <c r="Q140" s="705">
        <v>0</v>
      </c>
      <c r="R140" s="680">
        <v>0</v>
      </c>
      <c r="S140" s="680">
        <v>0</v>
      </c>
      <c r="T140" s="680">
        <v>0</v>
      </c>
      <c r="U140" s="680">
        <v>0</v>
      </c>
      <c r="V140" s="680">
        <v>0</v>
      </c>
      <c r="W140" s="680">
        <v>0</v>
      </c>
      <c r="X140" s="680">
        <v>0</v>
      </c>
      <c r="Y140" s="680">
        <v>810</v>
      </c>
    </row>
    <row r="141" spans="1:27" s="76" customFormat="1">
      <c r="A141" s="682" t="s">
        <v>872</v>
      </c>
      <c r="B141" s="682"/>
      <c r="C141" s="683" t="s">
        <v>873</v>
      </c>
      <c r="D141" s="684"/>
      <c r="E141" s="696"/>
      <c r="F141" s="686"/>
      <c r="G141" s="696"/>
      <c r="H141" s="697"/>
      <c r="I141" s="698"/>
      <c r="J141" s="699"/>
      <c r="K141" s="690"/>
      <c r="L141" s="691"/>
      <c r="M141" s="690"/>
      <c r="N141" s="702"/>
      <c r="O141" s="704"/>
      <c r="P141" s="704"/>
      <c r="Q141" s="755"/>
      <c r="R141" s="756"/>
      <c r="S141" s="756"/>
      <c r="T141" s="694"/>
      <c r="U141" s="694"/>
      <c r="V141" s="694"/>
      <c r="W141" s="704"/>
      <c r="X141" s="694"/>
      <c r="Y141" s="694"/>
      <c r="Z141" s="74"/>
      <c r="AA141" s="75"/>
    </row>
    <row r="142" spans="1:27">
      <c r="A142" s="661" t="s">
        <v>478</v>
      </c>
      <c r="B142" s="661" t="s">
        <v>477</v>
      </c>
      <c r="C142" s="662" t="s">
        <v>874</v>
      </c>
      <c r="D142" s="663">
        <v>300</v>
      </c>
      <c r="E142" s="664">
        <v>504.35</v>
      </c>
      <c r="F142" s="665">
        <v>300</v>
      </c>
      <c r="G142" s="666">
        <v>2000</v>
      </c>
      <c r="H142" s="667">
        <v>0</v>
      </c>
      <c r="I142" s="668">
        <v>2000</v>
      </c>
      <c r="J142" s="669">
        <v>1000</v>
      </c>
      <c r="K142" s="678">
        <v>0</v>
      </c>
      <c r="L142" s="679"/>
      <c r="M142" s="678"/>
      <c r="N142" s="672">
        <v>0</v>
      </c>
      <c r="O142" s="680">
        <v>0</v>
      </c>
      <c r="P142" s="680">
        <v>0</v>
      </c>
      <c r="Q142" s="705">
        <v>0</v>
      </c>
      <c r="R142" s="680">
        <v>0</v>
      </c>
      <c r="S142" s="680">
        <v>0</v>
      </c>
      <c r="T142" s="680">
        <v>0</v>
      </c>
      <c r="U142" s="680">
        <v>0</v>
      </c>
      <c r="V142" s="680">
        <v>0</v>
      </c>
      <c r="W142" s="680">
        <v>79.599999999999994</v>
      </c>
      <c r="X142" s="680">
        <v>1765.45</v>
      </c>
      <c r="Y142" s="680">
        <v>4873.84</v>
      </c>
    </row>
    <row r="143" spans="1:27">
      <c r="A143" s="661" t="s">
        <v>481</v>
      </c>
      <c r="B143" s="661" t="s">
        <v>480</v>
      </c>
      <c r="C143" s="662" t="s">
        <v>875</v>
      </c>
      <c r="D143" s="663">
        <v>0</v>
      </c>
      <c r="E143" s="675">
        <v>8062.25</v>
      </c>
      <c r="F143" s="665">
        <v>0</v>
      </c>
      <c r="G143" s="666">
        <v>2000</v>
      </c>
      <c r="H143" s="667">
        <v>0</v>
      </c>
      <c r="I143" s="668">
        <v>2000</v>
      </c>
      <c r="J143" s="669">
        <v>300</v>
      </c>
      <c r="K143" s="678">
        <v>0</v>
      </c>
      <c r="L143" s="679"/>
      <c r="M143" s="678"/>
      <c r="N143" s="672">
        <v>0</v>
      </c>
      <c r="O143" s="680">
        <v>0</v>
      </c>
      <c r="P143" s="680">
        <v>0</v>
      </c>
      <c r="Q143" s="705">
        <v>0</v>
      </c>
      <c r="R143" s="680">
        <v>0</v>
      </c>
      <c r="S143" s="680">
        <v>0</v>
      </c>
      <c r="T143" s="680">
        <v>0</v>
      </c>
      <c r="U143" s="680">
        <v>0</v>
      </c>
      <c r="V143" s="680">
        <v>0</v>
      </c>
      <c r="W143" s="680">
        <v>0</v>
      </c>
      <c r="X143" s="680">
        <v>0</v>
      </c>
      <c r="Y143" s="680">
        <v>0</v>
      </c>
    </row>
    <row r="144" spans="1:27">
      <c r="A144" s="661" t="s">
        <v>876</v>
      </c>
      <c r="B144" s="661"/>
      <c r="C144" s="662" t="s">
        <v>877</v>
      </c>
      <c r="D144" s="663">
        <v>100</v>
      </c>
      <c r="E144" s="664">
        <v>312</v>
      </c>
      <c r="F144" s="665">
        <v>100</v>
      </c>
      <c r="G144" s="666">
        <v>0</v>
      </c>
      <c r="H144" s="667">
        <v>0</v>
      </c>
      <c r="I144" s="668"/>
      <c r="J144" s="669"/>
      <c r="K144" s="678"/>
      <c r="L144" s="679"/>
      <c r="M144" s="678"/>
      <c r="N144" s="705"/>
      <c r="O144" s="680"/>
      <c r="P144" s="680"/>
      <c r="Q144" s="705"/>
      <c r="R144" s="680"/>
      <c r="S144" s="680"/>
      <c r="T144" s="680"/>
      <c r="U144" s="680"/>
      <c r="V144" s="680"/>
      <c r="W144" s="680">
        <v>894</v>
      </c>
      <c r="X144" s="680">
        <v>1884</v>
      </c>
      <c r="Y144" s="680">
        <v>3380</v>
      </c>
    </row>
    <row r="145" spans="1:27" s="76" customFormat="1">
      <c r="A145" s="682" t="s">
        <v>878</v>
      </c>
      <c r="B145" s="682"/>
      <c r="C145" s="683" t="s">
        <v>879</v>
      </c>
      <c r="D145" s="684"/>
      <c r="E145" s="696"/>
      <c r="F145" s="686"/>
      <c r="G145" s="696"/>
      <c r="H145" s="697"/>
      <c r="I145" s="698"/>
      <c r="J145" s="699"/>
      <c r="K145" s="700"/>
      <c r="L145" s="701"/>
      <c r="M145" s="700"/>
      <c r="N145" s="702"/>
      <c r="O145" s="704"/>
      <c r="P145" s="704"/>
      <c r="Q145" s="757"/>
      <c r="R145" s="704"/>
      <c r="S145" s="704"/>
      <c r="T145" s="694"/>
      <c r="U145" s="694"/>
      <c r="V145" s="704"/>
      <c r="W145" s="704"/>
      <c r="X145" s="704"/>
      <c r="Y145" s="704"/>
      <c r="Z145" s="74"/>
      <c r="AA145" s="75"/>
    </row>
    <row r="146" spans="1:27">
      <c r="A146" s="661" t="s">
        <v>490</v>
      </c>
      <c r="B146" s="661" t="s">
        <v>489</v>
      </c>
      <c r="C146" s="662" t="s">
        <v>880</v>
      </c>
      <c r="D146" s="663">
        <v>0</v>
      </c>
      <c r="E146" s="751">
        <v>0</v>
      </c>
      <c r="F146" s="665">
        <v>0</v>
      </c>
      <c r="G146" s="666">
        <v>65000</v>
      </c>
      <c r="H146" s="752">
        <v>0</v>
      </c>
      <c r="I146" s="668">
        <v>65000</v>
      </c>
      <c r="J146" s="669">
        <v>0</v>
      </c>
      <c r="K146" s="670">
        <v>0</v>
      </c>
      <c r="L146" s="671"/>
      <c r="M146" s="670"/>
      <c r="N146" s="672">
        <v>0</v>
      </c>
      <c r="O146" s="680">
        <v>0</v>
      </c>
      <c r="P146" s="680">
        <v>0</v>
      </c>
      <c r="Q146" s="705">
        <v>0</v>
      </c>
      <c r="R146" s="680">
        <v>0</v>
      </c>
      <c r="S146" s="680">
        <v>0</v>
      </c>
      <c r="T146" s="680">
        <v>0</v>
      </c>
      <c r="U146" s="680">
        <v>0</v>
      </c>
      <c r="V146" s="673">
        <v>0</v>
      </c>
      <c r="W146" s="673">
        <v>0</v>
      </c>
      <c r="X146" s="673">
        <v>0</v>
      </c>
      <c r="Y146" s="673">
        <v>0</v>
      </c>
    </row>
    <row r="147" spans="1:27">
      <c r="A147" s="661" t="s">
        <v>487</v>
      </c>
      <c r="B147" s="661" t="s">
        <v>486</v>
      </c>
      <c r="C147" s="662" t="s">
        <v>881</v>
      </c>
      <c r="D147" s="663">
        <v>0</v>
      </c>
      <c r="E147" s="751">
        <v>0</v>
      </c>
      <c r="F147" s="665">
        <v>0</v>
      </c>
      <c r="G147" s="666">
        <v>45000</v>
      </c>
      <c r="H147" s="752">
        <v>0</v>
      </c>
      <c r="I147" s="668">
        <v>45000</v>
      </c>
      <c r="J147" s="669">
        <v>0</v>
      </c>
      <c r="K147" s="670">
        <v>0</v>
      </c>
      <c r="L147" s="671"/>
      <c r="M147" s="670"/>
      <c r="N147" s="672">
        <v>0</v>
      </c>
      <c r="O147" s="680">
        <v>0</v>
      </c>
      <c r="P147" s="680">
        <v>0</v>
      </c>
      <c r="Q147" s="705">
        <v>0</v>
      </c>
      <c r="R147" s="680">
        <v>0</v>
      </c>
      <c r="S147" s="680">
        <v>0</v>
      </c>
      <c r="T147" s="680">
        <v>0</v>
      </c>
      <c r="U147" s="680">
        <v>0</v>
      </c>
      <c r="V147" s="673">
        <v>0</v>
      </c>
      <c r="W147" s="673">
        <v>0</v>
      </c>
      <c r="X147" s="673">
        <v>0</v>
      </c>
      <c r="Y147" s="673">
        <v>0</v>
      </c>
    </row>
    <row r="148" spans="1:27">
      <c r="A148" s="661" t="s">
        <v>882</v>
      </c>
      <c r="B148" s="674" t="s">
        <v>883</v>
      </c>
      <c r="C148" s="662" t="s">
        <v>497</v>
      </c>
      <c r="D148" s="663">
        <v>0</v>
      </c>
      <c r="E148" s="664">
        <v>29218</v>
      </c>
      <c r="F148" s="665">
        <v>0</v>
      </c>
      <c r="G148" s="666">
        <v>20000</v>
      </c>
      <c r="H148" s="752">
        <v>0</v>
      </c>
      <c r="I148" s="668">
        <v>20000</v>
      </c>
      <c r="J148" s="669">
        <v>0</v>
      </c>
      <c r="K148" s="678">
        <v>0</v>
      </c>
      <c r="L148" s="679"/>
      <c r="M148" s="678"/>
      <c r="N148" s="705">
        <v>0</v>
      </c>
      <c r="O148" s="680">
        <v>0</v>
      </c>
      <c r="P148" s="680">
        <v>0</v>
      </c>
      <c r="Q148" s="705">
        <v>0</v>
      </c>
      <c r="R148" s="680">
        <v>0</v>
      </c>
      <c r="S148" s="680">
        <v>0</v>
      </c>
      <c r="T148" s="680">
        <v>0</v>
      </c>
      <c r="U148" s="680">
        <v>0</v>
      </c>
      <c r="V148" s="680">
        <v>0</v>
      </c>
      <c r="W148" s="680">
        <v>0</v>
      </c>
      <c r="X148" s="680">
        <v>0</v>
      </c>
      <c r="Y148" s="680">
        <v>0</v>
      </c>
    </row>
    <row r="149" spans="1:27">
      <c r="A149" s="661" t="s">
        <v>493</v>
      </c>
      <c r="B149" s="661" t="s">
        <v>492</v>
      </c>
      <c r="C149" s="662" t="s">
        <v>494</v>
      </c>
      <c r="D149" s="663">
        <v>0</v>
      </c>
      <c r="E149" s="664">
        <v>19.95</v>
      </c>
      <c r="F149" s="665">
        <v>0</v>
      </c>
      <c r="G149" s="666">
        <v>50</v>
      </c>
      <c r="H149" s="752">
        <v>0</v>
      </c>
      <c r="I149" s="668">
        <v>50</v>
      </c>
      <c r="J149" s="669">
        <v>0</v>
      </c>
      <c r="K149" s="678">
        <v>0</v>
      </c>
      <c r="L149" s="679"/>
      <c r="M149" s="678"/>
      <c r="N149" s="705">
        <v>0</v>
      </c>
      <c r="O149" s="680">
        <v>0</v>
      </c>
      <c r="P149" s="680">
        <v>0</v>
      </c>
      <c r="Q149" s="705">
        <v>0</v>
      </c>
      <c r="R149" s="680">
        <v>0</v>
      </c>
      <c r="S149" s="680">
        <v>0</v>
      </c>
      <c r="T149" s="680">
        <v>0</v>
      </c>
      <c r="U149" s="680">
        <v>0</v>
      </c>
      <c r="V149" s="680">
        <v>0</v>
      </c>
      <c r="W149" s="680">
        <v>0</v>
      </c>
      <c r="X149" s="680">
        <v>0</v>
      </c>
      <c r="Y149" s="680">
        <v>0</v>
      </c>
    </row>
    <row r="150" spans="1:27" s="76" customFormat="1">
      <c r="A150" s="682" t="s">
        <v>884</v>
      </c>
      <c r="B150" s="682"/>
      <c r="C150" s="683" t="s">
        <v>885</v>
      </c>
      <c r="D150" s="684"/>
      <c r="E150" s="716"/>
      <c r="F150" s="686"/>
      <c r="G150" s="696"/>
      <c r="H150" s="717"/>
      <c r="I150" s="698"/>
      <c r="J150" s="699"/>
      <c r="K150" s="720"/>
      <c r="L150" s="721"/>
      <c r="M150" s="720"/>
      <c r="N150" s="702"/>
      <c r="O150" s="703"/>
      <c r="P150" s="703"/>
      <c r="Q150" s="702"/>
      <c r="R150" s="703"/>
      <c r="S150" s="703"/>
      <c r="T150" s="703"/>
      <c r="U150" s="703"/>
      <c r="V150" s="703"/>
      <c r="W150" s="703"/>
      <c r="X150" s="703"/>
      <c r="Y150" s="703"/>
      <c r="Z150" s="74"/>
      <c r="AA150" s="75"/>
    </row>
    <row r="151" spans="1:27">
      <c r="A151" s="661" t="s">
        <v>886</v>
      </c>
      <c r="B151" s="674" t="s">
        <v>887</v>
      </c>
      <c r="C151" s="662" t="s">
        <v>888</v>
      </c>
      <c r="D151" s="663">
        <v>250</v>
      </c>
      <c r="E151" s="675">
        <v>40</v>
      </c>
      <c r="F151" s="665">
        <v>250</v>
      </c>
      <c r="G151" s="666">
        <v>333</v>
      </c>
      <c r="H151" s="667">
        <v>0</v>
      </c>
      <c r="I151" s="668">
        <v>2566.67</v>
      </c>
      <c r="J151" s="758">
        <v>680</v>
      </c>
      <c r="K151" s="678">
        <v>200</v>
      </c>
      <c r="L151" s="679"/>
      <c r="M151" s="678"/>
      <c r="N151" s="705">
        <v>0</v>
      </c>
      <c r="O151" s="680">
        <v>0</v>
      </c>
      <c r="P151" s="680">
        <v>0</v>
      </c>
      <c r="Q151" s="705">
        <v>0</v>
      </c>
      <c r="R151" s="680">
        <v>40</v>
      </c>
      <c r="S151" s="680">
        <v>40</v>
      </c>
      <c r="T151" s="680">
        <v>40</v>
      </c>
      <c r="U151" s="680">
        <v>40</v>
      </c>
      <c r="V151" s="680">
        <v>40</v>
      </c>
      <c r="W151" s="680">
        <v>40</v>
      </c>
      <c r="X151" s="680">
        <v>40</v>
      </c>
      <c r="Y151" s="680">
        <v>40</v>
      </c>
    </row>
    <row r="152" spans="1:27">
      <c r="A152" s="661" t="s">
        <v>889</v>
      </c>
      <c r="B152" s="661" t="s">
        <v>270</v>
      </c>
      <c r="C152" s="662" t="s">
        <v>890</v>
      </c>
      <c r="D152" s="663">
        <v>1000</v>
      </c>
      <c r="E152" s="675">
        <v>130.19999999999999</v>
      </c>
      <c r="F152" s="665">
        <v>1000</v>
      </c>
      <c r="G152" s="666">
        <v>2100</v>
      </c>
      <c r="H152" s="667">
        <v>2.37</v>
      </c>
      <c r="I152" s="668">
        <v>3250</v>
      </c>
      <c r="J152" s="669">
        <v>1250</v>
      </c>
      <c r="K152" s="678">
        <v>23.22</v>
      </c>
      <c r="L152" s="679"/>
      <c r="M152" s="678"/>
      <c r="N152" s="705">
        <v>0</v>
      </c>
      <c r="O152" s="680">
        <v>0</v>
      </c>
      <c r="P152" s="680">
        <v>0</v>
      </c>
      <c r="Q152" s="705">
        <v>0</v>
      </c>
      <c r="R152" s="680">
        <v>100.2</v>
      </c>
      <c r="S152" s="680">
        <v>246.6</v>
      </c>
      <c r="T152" s="680">
        <v>246.6</v>
      </c>
      <c r="U152" s="680">
        <v>246.6</v>
      </c>
      <c r="V152" s="680">
        <v>246.6</v>
      </c>
      <c r="W152" s="680">
        <v>246.6</v>
      </c>
      <c r="X152" s="680">
        <v>246.6</v>
      </c>
      <c r="Y152" s="680">
        <v>246.6</v>
      </c>
    </row>
    <row r="153" spans="1:27">
      <c r="A153" s="661" t="s">
        <v>891</v>
      </c>
      <c r="B153" s="759" t="s">
        <v>892</v>
      </c>
      <c r="C153" s="662" t="s">
        <v>893</v>
      </c>
      <c r="D153" s="663">
        <v>5000</v>
      </c>
      <c r="E153" s="675">
        <v>4462.2</v>
      </c>
      <c r="F153" s="665">
        <v>5000</v>
      </c>
      <c r="G153" s="666">
        <v>7743.3</v>
      </c>
      <c r="H153" s="667">
        <v>0</v>
      </c>
      <c r="I153" s="668">
        <v>12019.99</v>
      </c>
      <c r="J153" s="669">
        <v>2500</v>
      </c>
      <c r="K153" s="678">
        <v>6822.68</v>
      </c>
      <c r="L153" s="679"/>
      <c r="M153" s="678"/>
      <c r="N153" s="705">
        <v>0</v>
      </c>
      <c r="O153" s="680">
        <v>0</v>
      </c>
      <c r="P153" s="680">
        <v>0</v>
      </c>
      <c r="Q153" s="705">
        <v>0</v>
      </c>
      <c r="R153" s="680">
        <v>0</v>
      </c>
      <c r="S153" s="680">
        <v>600</v>
      </c>
      <c r="T153" s="680">
        <v>600</v>
      </c>
      <c r="U153" s="680">
        <v>600</v>
      </c>
      <c r="V153" s="680">
        <v>600</v>
      </c>
      <c r="W153" s="680">
        <v>600</v>
      </c>
      <c r="X153" s="680">
        <v>600</v>
      </c>
      <c r="Y153" s="680">
        <v>600</v>
      </c>
    </row>
    <row r="154" spans="1:27">
      <c r="A154" s="661" t="s">
        <v>894</v>
      </c>
      <c r="B154" s="661" t="s">
        <v>361</v>
      </c>
      <c r="C154" s="662" t="s">
        <v>895</v>
      </c>
      <c r="D154" s="663">
        <v>500</v>
      </c>
      <c r="E154" s="675">
        <v>468</v>
      </c>
      <c r="F154" s="665">
        <v>500</v>
      </c>
      <c r="G154" s="666">
        <v>788.3</v>
      </c>
      <c r="H154" s="695">
        <v>4198</v>
      </c>
      <c r="I154" s="668">
        <v>3798.5</v>
      </c>
      <c r="J154" s="669">
        <v>833.33</v>
      </c>
      <c r="K154" s="678">
        <v>6274.44</v>
      </c>
      <c r="L154" s="679"/>
      <c r="M154" s="678"/>
      <c r="N154" s="705">
        <v>39</v>
      </c>
      <c r="O154" s="680">
        <v>78</v>
      </c>
      <c r="P154" s="680">
        <v>78</v>
      </c>
      <c r="Q154" s="705">
        <v>78</v>
      </c>
      <c r="R154" s="680">
        <v>156</v>
      </c>
      <c r="S154" s="680">
        <v>791.99</v>
      </c>
      <c r="T154" s="680">
        <v>830.99</v>
      </c>
      <c r="U154" s="680">
        <v>869.99</v>
      </c>
      <c r="V154" s="680">
        <v>908.99</v>
      </c>
      <c r="W154" s="680">
        <v>947.99</v>
      </c>
      <c r="X154" s="680">
        <v>947.99</v>
      </c>
      <c r="Y154" s="680">
        <v>947.99</v>
      </c>
    </row>
    <row r="155" spans="1:27">
      <c r="A155" s="661" t="s">
        <v>896</v>
      </c>
      <c r="B155" s="661" t="s">
        <v>361</v>
      </c>
      <c r="C155" s="662" t="s">
        <v>897</v>
      </c>
      <c r="D155" s="663">
        <v>1500</v>
      </c>
      <c r="E155" s="675">
        <v>0</v>
      </c>
      <c r="F155" s="665">
        <v>1500</v>
      </c>
      <c r="G155" s="666">
        <v>788.3</v>
      </c>
      <c r="H155" s="695">
        <v>1710</v>
      </c>
      <c r="I155" s="668">
        <v>3798.5</v>
      </c>
      <c r="J155" s="669">
        <v>833.33</v>
      </c>
      <c r="K155" s="678">
        <v>5278</v>
      </c>
      <c r="L155" s="679"/>
      <c r="M155" s="678"/>
      <c r="N155" s="705">
        <v>0</v>
      </c>
      <c r="O155" s="680">
        <v>0</v>
      </c>
      <c r="P155" s="680">
        <v>0</v>
      </c>
      <c r="Q155" s="705">
        <v>0</v>
      </c>
      <c r="R155" s="680">
        <v>0</v>
      </c>
      <c r="S155" s="680">
        <v>0</v>
      </c>
      <c r="T155" s="680">
        <v>0</v>
      </c>
      <c r="U155" s="680">
        <v>0</v>
      </c>
      <c r="V155" s="680">
        <v>0</v>
      </c>
      <c r="W155" s="680">
        <v>0</v>
      </c>
      <c r="X155" s="680">
        <v>0</v>
      </c>
      <c r="Y155" s="680">
        <v>0</v>
      </c>
    </row>
    <row r="156" spans="1:27">
      <c r="A156" s="661" t="s">
        <v>898</v>
      </c>
      <c r="B156" s="661" t="s">
        <v>358</v>
      </c>
      <c r="C156" s="662" t="s">
        <v>899</v>
      </c>
      <c r="D156" s="663">
        <v>500</v>
      </c>
      <c r="E156" s="675">
        <v>0</v>
      </c>
      <c r="F156" s="665">
        <v>500</v>
      </c>
      <c r="G156" s="666">
        <v>1262.5</v>
      </c>
      <c r="H156" s="667">
        <v>913.63</v>
      </c>
      <c r="I156" s="668">
        <v>318.5</v>
      </c>
      <c r="J156" s="669">
        <v>312.5</v>
      </c>
      <c r="K156" s="678">
        <v>768.84</v>
      </c>
      <c r="L156" s="679"/>
      <c r="M156" s="678"/>
      <c r="N156" s="705">
        <v>0</v>
      </c>
      <c r="O156" s="680">
        <v>0</v>
      </c>
      <c r="P156" s="680">
        <v>0</v>
      </c>
      <c r="Q156" s="705">
        <v>0</v>
      </c>
      <c r="R156" s="680">
        <v>0</v>
      </c>
      <c r="S156" s="680">
        <v>229.89</v>
      </c>
      <c r="T156" s="680">
        <v>229.89</v>
      </c>
      <c r="U156" s="680">
        <v>229.89</v>
      </c>
      <c r="V156" s="680">
        <v>229.89</v>
      </c>
      <c r="W156" s="680">
        <v>229.89</v>
      </c>
      <c r="X156" s="680">
        <v>229.89</v>
      </c>
      <c r="Y156" s="680">
        <v>229.89</v>
      </c>
    </row>
    <row r="157" spans="1:27">
      <c r="A157" s="760" t="s">
        <v>900</v>
      </c>
      <c r="B157" s="761"/>
      <c r="C157" s="762" t="s">
        <v>901</v>
      </c>
      <c r="D157" s="684"/>
      <c r="E157" s="696"/>
      <c r="F157" s="686"/>
      <c r="G157" s="696"/>
      <c r="H157" s="697"/>
      <c r="I157" s="698"/>
      <c r="J157" s="699"/>
      <c r="K157" s="700"/>
      <c r="L157" s="701"/>
      <c r="M157" s="700"/>
      <c r="N157" s="692"/>
      <c r="O157" s="763"/>
      <c r="P157" s="763"/>
      <c r="Q157" s="764"/>
      <c r="R157" s="763"/>
      <c r="S157" s="763"/>
      <c r="T157" s="694"/>
      <c r="U157" s="694"/>
      <c r="V157" s="704"/>
      <c r="W157" s="704"/>
      <c r="X157" s="704"/>
      <c r="Y157" s="704"/>
    </row>
    <row r="158" spans="1:27" s="76" customFormat="1">
      <c r="A158" s="682" t="s">
        <v>902</v>
      </c>
      <c r="B158" s="682"/>
      <c r="C158" s="683" t="s">
        <v>903</v>
      </c>
      <c r="D158" s="684"/>
      <c r="E158" s="716"/>
      <c r="F158" s="686"/>
      <c r="G158" s="696"/>
      <c r="H158" s="717"/>
      <c r="I158" s="698"/>
      <c r="J158" s="699"/>
      <c r="K158" s="720"/>
      <c r="L158" s="721"/>
      <c r="M158" s="720"/>
      <c r="N158" s="702"/>
      <c r="O158" s="703"/>
      <c r="P158" s="703"/>
      <c r="Q158" s="702"/>
      <c r="R158" s="703"/>
      <c r="S158" s="703"/>
      <c r="T158" s="703"/>
      <c r="U158" s="703"/>
      <c r="V158" s="703"/>
      <c r="W158" s="703"/>
      <c r="X158" s="703"/>
      <c r="Y158" s="703"/>
      <c r="Z158" s="74"/>
      <c r="AA158" s="75"/>
    </row>
    <row r="159" spans="1:27">
      <c r="A159" s="661" t="s">
        <v>904</v>
      </c>
      <c r="B159" s="674" t="s">
        <v>689</v>
      </c>
      <c r="C159" s="662" t="s">
        <v>905</v>
      </c>
      <c r="D159" s="663">
        <v>200</v>
      </c>
      <c r="E159" s="751">
        <v>0</v>
      </c>
      <c r="F159" s="665">
        <v>200</v>
      </c>
      <c r="G159" s="666">
        <v>333</v>
      </c>
      <c r="H159" s="752">
        <v>0</v>
      </c>
      <c r="I159" s="668">
        <v>2566.67</v>
      </c>
      <c r="J159" s="669">
        <v>500</v>
      </c>
      <c r="K159" s="670">
        <v>0</v>
      </c>
      <c r="L159" s="671"/>
      <c r="M159" s="670"/>
      <c r="N159" s="672">
        <v>0</v>
      </c>
      <c r="O159" s="673">
        <v>0</v>
      </c>
      <c r="P159" s="673">
        <v>0</v>
      </c>
      <c r="Q159" s="672">
        <v>0</v>
      </c>
      <c r="R159" s="673">
        <v>0</v>
      </c>
      <c r="S159" s="673">
        <v>0</v>
      </c>
      <c r="T159" s="673">
        <v>0</v>
      </c>
      <c r="U159" s="673">
        <v>0</v>
      </c>
      <c r="V159" s="673">
        <v>0</v>
      </c>
      <c r="W159" s="673">
        <v>0</v>
      </c>
      <c r="X159" s="673">
        <v>0</v>
      </c>
      <c r="Y159" s="673">
        <v>0</v>
      </c>
    </row>
    <row r="160" spans="1:27">
      <c r="A160" s="661" t="s">
        <v>906</v>
      </c>
      <c r="B160" s="661" t="s">
        <v>270</v>
      </c>
      <c r="C160" s="662" t="s">
        <v>907</v>
      </c>
      <c r="D160" s="663">
        <v>1500</v>
      </c>
      <c r="E160" s="751">
        <v>0</v>
      </c>
      <c r="F160" s="665">
        <v>1500</v>
      </c>
      <c r="G160" s="666">
        <v>2100</v>
      </c>
      <c r="H160" s="752">
        <v>0</v>
      </c>
      <c r="I160" s="668">
        <v>3250</v>
      </c>
      <c r="J160" s="669">
        <v>1250</v>
      </c>
      <c r="K160" s="670">
        <v>0</v>
      </c>
      <c r="L160" s="671"/>
      <c r="M160" s="670"/>
      <c r="N160" s="672">
        <v>0</v>
      </c>
      <c r="O160" s="673">
        <v>0</v>
      </c>
      <c r="P160" s="673">
        <v>0</v>
      </c>
      <c r="Q160" s="672">
        <v>0</v>
      </c>
      <c r="R160" s="673">
        <v>0</v>
      </c>
      <c r="S160" s="673">
        <v>0</v>
      </c>
      <c r="T160" s="673">
        <v>0</v>
      </c>
      <c r="U160" s="673">
        <v>0</v>
      </c>
      <c r="V160" s="673">
        <v>0</v>
      </c>
      <c r="W160" s="673">
        <v>0</v>
      </c>
      <c r="X160" s="673">
        <v>0</v>
      </c>
      <c r="Y160" s="673">
        <v>0</v>
      </c>
    </row>
    <row r="161" spans="1:27">
      <c r="A161" s="661" t="s">
        <v>908</v>
      </c>
      <c r="B161" s="759" t="s">
        <v>892</v>
      </c>
      <c r="C161" s="662" t="s">
        <v>909</v>
      </c>
      <c r="D161" s="663">
        <v>2500</v>
      </c>
      <c r="E161" s="751">
        <v>0</v>
      </c>
      <c r="F161" s="665">
        <v>2500</v>
      </c>
      <c r="G161" s="666">
        <v>7743.3</v>
      </c>
      <c r="H161" s="752">
        <v>0</v>
      </c>
      <c r="I161" s="668">
        <v>12020.01</v>
      </c>
      <c r="J161" s="669">
        <v>2500</v>
      </c>
      <c r="K161" s="670">
        <v>1000</v>
      </c>
      <c r="L161" s="671"/>
      <c r="M161" s="670"/>
      <c r="N161" s="672">
        <v>0</v>
      </c>
      <c r="O161" s="673">
        <v>0</v>
      </c>
      <c r="P161" s="673">
        <v>0</v>
      </c>
      <c r="Q161" s="672">
        <v>0</v>
      </c>
      <c r="R161" s="673">
        <v>0</v>
      </c>
      <c r="S161" s="673">
        <v>0</v>
      </c>
      <c r="T161" s="673">
        <v>0</v>
      </c>
      <c r="U161" s="673">
        <v>0</v>
      </c>
      <c r="V161" s="673">
        <v>0</v>
      </c>
      <c r="W161" s="673">
        <v>0</v>
      </c>
      <c r="X161" s="673">
        <v>0</v>
      </c>
      <c r="Y161" s="673">
        <v>0</v>
      </c>
    </row>
    <row r="162" spans="1:27">
      <c r="A162" s="661" t="s">
        <v>910</v>
      </c>
      <c r="B162" s="661" t="s">
        <v>361</v>
      </c>
      <c r="C162" s="662" t="s">
        <v>911</v>
      </c>
      <c r="D162" s="663">
        <v>2500</v>
      </c>
      <c r="E162" s="751">
        <v>0</v>
      </c>
      <c r="F162" s="665">
        <v>2500</v>
      </c>
      <c r="G162" s="666">
        <v>788.3</v>
      </c>
      <c r="H162" s="752">
        <v>0</v>
      </c>
      <c r="I162" s="668">
        <v>3798.5</v>
      </c>
      <c r="J162" s="669">
        <v>833.33</v>
      </c>
      <c r="K162" s="670">
        <v>0</v>
      </c>
      <c r="L162" s="671"/>
      <c r="M162" s="670"/>
      <c r="N162" s="672">
        <v>0</v>
      </c>
      <c r="O162" s="673">
        <v>0</v>
      </c>
      <c r="P162" s="673">
        <v>0</v>
      </c>
      <c r="Q162" s="672">
        <v>0</v>
      </c>
      <c r="R162" s="673">
        <v>0</v>
      </c>
      <c r="S162" s="673">
        <v>0</v>
      </c>
      <c r="T162" s="673">
        <v>0</v>
      </c>
      <c r="U162" s="673">
        <v>0</v>
      </c>
      <c r="V162" s="673">
        <v>0</v>
      </c>
      <c r="W162" s="673">
        <v>0</v>
      </c>
      <c r="X162" s="673">
        <v>0</v>
      </c>
      <c r="Y162" s="673">
        <v>0</v>
      </c>
    </row>
    <row r="163" spans="1:27">
      <c r="A163" s="661" t="s">
        <v>912</v>
      </c>
      <c r="B163" s="661" t="s">
        <v>361</v>
      </c>
      <c r="C163" s="662" t="s">
        <v>913</v>
      </c>
      <c r="D163" s="663">
        <v>10000</v>
      </c>
      <c r="E163" s="751">
        <v>0</v>
      </c>
      <c r="F163" s="665">
        <v>10000</v>
      </c>
      <c r="G163" s="666">
        <v>788.3</v>
      </c>
      <c r="H163" s="752">
        <v>0</v>
      </c>
      <c r="I163" s="668">
        <v>3798.5</v>
      </c>
      <c r="J163" s="669">
        <v>833.34</v>
      </c>
      <c r="K163" s="670">
        <v>563.20000000000005</v>
      </c>
      <c r="L163" s="671"/>
      <c r="M163" s="670"/>
      <c r="N163" s="672">
        <v>0</v>
      </c>
      <c r="O163" s="673">
        <v>0</v>
      </c>
      <c r="P163" s="673">
        <v>0</v>
      </c>
      <c r="Q163" s="672">
        <v>0</v>
      </c>
      <c r="R163" s="673">
        <v>0</v>
      </c>
      <c r="S163" s="673">
        <v>0</v>
      </c>
      <c r="T163" s="673">
        <v>0</v>
      </c>
      <c r="U163" s="673">
        <v>0</v>
      </c>
      <c r="V163" s="673">
        <v>0</v>
      </c>
      <c r="W163" s="673">
        <v>0</v>
      </c>
      <c r="X163" s="673">
        <v>0</v>
      </c>
      <c r="Y163" s="673">
        <v>0</v>
      </c>
    </row>
    <row r="164" spans="1:27">
      <c r="A164" s="661" t="s">
        <v>914</v>
      </c>
      <c r="B164" s="661" t="s">
        <v>358</v>
      </c>
      <c r="C164" s="662" t="s">
        <v>915</v>
      </c>
      <c r="D164" s="663">
        <v>4000</v>
      </c>
      <c r="E164" s="751">
        <v>0</v>
      </c>
      <c r="F164" s="665">
        <v>4000</v>
      </c>
      <c r="G164" s="666">
        <v>1262.5</v>
      </c>
      <c r="H164" s="752">
        <v>0</v>
      </c>
      <c r="I164" s="668">
        <v>318.5</v>
      </c>
      <c r="J164" s="669">
        <v>312.5</v>
      </c>
      <c r="K164" s="670">
        <v>28</v>
      </c>
      <c r="L164" s="671"/>
      <c r="M164" s="670"/>
      <c r="N164" s="672">
        <v>148.18</v>
      </c>
      <c r="O164" s="673">
        <v>148.18</v>
      </c>
      <c r="P164" s="673">
        <v>148.18</v>
      </c>
      <c r="Q164" s="672">
        <v>148.18</v>
      </c>
      <c r="R164" s="673">
        <v>148.18</v>
      </c>
      <c r="S164" s="673">
        <v>148.18</v>
      </c>
      <c r="T164" s="673">
        <v>177.46</v>
      </c>
      <c r="U164" s="673">
        <v>177.46</v>
      </c>
      <c r="V164" s="673">
        <v>177.46</v>
      </c>
      <c r="W164" s="673">
        <v>177.46</v>
      </c>
      <c r="X164" s="673">
        <v>177.46</v>
      </c>
      <c r="Y164" s="673">
        <v>177.46</v>
      </c>
    </row>
    <row r="165" spans="1:27" s="76" customFormat="1">
      <c r="A165" s="706" t="s">
        <v>916</v>
      </c>
      <c r="B165" s="661" t="s">
        <v>358</v>
      </c>
      <c r="C165" s="707" t="s">
        <v>917</v>
      </c>
      <c r="D165" s="684">
        <v>1000</v>
      </c>
      <c r="E165" s="747">
        <v>61</v>
      </c>
      <c r="F165" s="686">
        <v>1000</v>
      </c>
      <c r="G165" s="696">
        <v>1262.5</v>
      </c>
      <c r="H165" s="748">
        <v>781.78</v>
      </c>
      <c r="I165" s="698">
        <v>318.5</v>
      </c>
      <c r="J165" s="699">
        <v>312.5</v>
      </c>
      <c r="K165" s="749">
        <v>586</v>
      </c>
      <c r="L165" s="750"/>
      <c r="M165" s="749"/>
      <c r="N165" s="692">
        <v>115</v>
      </c>
      <c r="O165" s="693">
        <v>115</v>
      </c>
      <c r="P165" s="693">
        <v>115</v>
      </c>
      <c r="Q165" s="692">
        <v>115</v>
      </c>
      <c r="R165" s="693">
        <v>115</v>
      </c>
      <c r="S165" s="693">
        <v>115</v>
      </c>
      <c r="T165" s="693">
        <v>490</v>
      </c>
      <c r="U165" s="693">
        <v>490</v>
      </c>
      <c r="V165" s="693">
        <v>595</v>
      </c>
      <c r="W165" s="693">
        <v>902.88</v>
      </c>
      <c r="X165" s="693">
        <v>902.88</v>
      </c>
      <c r="Y165" s="693">
        <v>902.88</v>
      </c>
      <c r="Z165" s="74"/>
      <c r="AA165" s="75"/>
    </row>
    <row r="166" spans="1:27">
      <c r="A166" s="765" t="s">
        <v>900</v>
      </c>
      <c r="B166" s="766"/>
      <c r="C166" s="767" t="s">
        <v>918</v>
      </c>
      <c r="D166" s="663">
        <v>0</v>
      </c>
      <c r="E166" s="751">
        <v>0</v>
      </c>
      <c r="F166" s="665">
        <v>0</v>
      </c>
      <c r="G166" s="675">
        <v>0</v>
      </c>
      <c r="H166" s="752">
        <v>0</v>
      </c>
      <c r="I166" s="754"/>
      <c r="J166" s="681"/>
      <c r="K166" s="670"/>
      <c r="L166" s="671"/>
      <c r="M166" s="670"/>
      <c r="N166" s="672"/>
      <c r="O166" s="673"/>
      <c r="P166" s="673"/>
      <c r="Q166" s="672"/>
      <c r="R166" s="673"/>
      <c r="S166" s="673"/>
      <c r="T166" s="673"/>
      <c r="U166" s="673"/>
      <c r="V166" s="673"/>
      <c r="W166" s="673"/>
      <c r="X166" s="673"/>
      <c r="Y166" s="673"/>
    </row>
    <row r="167" spans="1:27" s="80" customFormat="1">
      <c r="A167" s="706" t="s">
        <v>919</v>
      </c>
      <c r="B167" s="706" t="s">
        <v>366</v>
      </c>
      <c r="C167" s="707" t="s">
        <v>920</v>
      </c>
      <c r="D167" s="684">
        <v>500</v>
      </c>
      <c r="E167" s="685">
        <v>0</v>
      </c>
      <c r="F167" s="686">
        <v>500</v>
      </c>
      <c r="G167" s="696">
        <v>4950</v>
      </c>
      <c r="H167" s="687">
        <v>0</v>
      </c>
      <c r="I167" s="698">
        <v>19138.330000000002</v>
      </c>
      <c r="J167" s="699">
        <v>1166.67</v>
      </c>
      <c r="K167" s="690">
        <v>0</v>
      </c>
      <c r="L167" s="691"/>
      <c r="M167" s="690"/>
      <c r="N167" s="757">
        <v>0</v>
      </c>
      <c r="O167" s="694">
        <v>0</v>
      </c>
      <c r="P167" s="694">
        <v>0</v>
      </c>
      <c r="Q167" s="757">
        <v>0</v>
      </c>
      <c r="R167" s="694">
        <v>0</v>
      </c>
      <c r="S167" s="694">
        <v>0</v>
      </c>
      <c r="T167" s="694">
        <v>0</v>
      </c>
      <c r="U167" s="694">
        <v>0</v>
      </c>
      <c r="V167" s="694">
        <v>0</v>
      </c>
      <c r="W167" s="694">
        <v>0</v>
      </c>
      <c r="X167" s="694">
        <v>0</v>
      </c>
      <c r="Y167" s="694">
        <v>0</v>
      </c>
      <c r="Z167" s="79"/>
      <c r="AA167" s="75"/>
    </row>
    <row r="168" spans="1:27" s="76" customFormat="1">
      <c r="A168" s="682" t="s">
        <v>921</v>
      </c>
      <c r="B168" s="682"/>
      <c r="C168" s="683" t="s">
        <v>922</v>
      </c>
      <c r="D168" s="684"/>
      <c r="E168" s="716"/>
      <c r="F168" s="686"/>
      <c r="G168" s="696"/>
      <c r="H168" s="717"/>
      <c r="I168" s="698"/>
      <c r="J168" s="699"/>
      <c r="K168" s="720"/>
      <c r="L168" s="721"/>
      <c r="M168" s="720"/>
      <c r="N168" s="702"/>
      <c r="O168" s="703"/>
      <c r="P168" s="703"/>
      <c r="Q168" s="702"/>
      <c r="R168" s="703"/>
      <c r="S168" s="703"/>
      <c r="T168" s="703"/>
      <c r="U168" s="703"/>
      <c r="V168" s="703"/>
      <c r="W168" s="703"/>
      <c r="X168" s="703"/>
      <c r="Y168" s="703"/>
      <c r="Z168" s="74"/>
      <c r="AA168" s="75"/>
    </row>
    <row r="169" spans="1:27">
      <c r="A169" s="661" t="s">
        <v>349</v>
      </c>
      <c r="B169" s="674" t="s">
        <v>689</v>
      </c>
      <c r="C169" s="662" t="s">
        <v>923</v>
      </c>
      <c r="D169" s="663">
        <v>500</v>
      </c>
      <c r="E169" s="751">
        <v>0</v>
      </c>
      <c r="F169" s="665">
        <v>500</v>
      </c>
      <c r="G169" s="666">
        <v>333</v>
      </c>
      <c r="H169" s="752">
        <v>0</v>
      </c>
      <c r="I169" s="668">
        <v>2566.66</v>
      </c>
      <c r="J169" s="669">
        <v>500</v>
      </c>
      <c r="K169" s="670">
        <v>0</v>
      </c>
      <c r="L169" s="671"/>
      <c r="M169" s="670"/>
      <c r="N169" s="672">
        <v>0</v>
      </c>
      <c r="O169" s="673">
        <v>0</v>
      </c>
      <c r="P169" s="673">
        <v>0</v>
      </c>
      <c r="Q169" s="672">
        <v>0</v>
      </c>
      <c r="R169" s="673">
        <v>0</v>
      </c>
      <c r="S169" s="673">
        <v>0</v>
      </c>
      <c r="T169" s="673">
        <v>0</v>
      </c>
      <c r="U169" s="673">
        <v>0</v>
      </c>
      <c r="V169" s="673">
        <v>0</v>
      </c>
      <c r="W169" s="673">
        <v>0</v>
      </c>
      <c r="X169" s="673">
        <v>0</v>
      </c>
      <c r="Y169" s="673">
        <v>0</v>
      </c>
    </row>
    <row r="170" spans="1:27">
      <c r="A170" s="661" t="s">
        <v>924</v>
      </c>
      <c r="B170" s="661" t="s">
        <v>270</v>
      </c>
      <c r="C170" s="662" t="s">
        <v>925</v>
      </c>
      <c r="D170" s="663">
        <v>4000</v>
      </c>
      <c r="E170" s="751">
        <v>0</v>
      </c>
      <c r="F170" s="665">
        <v>4000</v>
      </c>
      <c r="G170" s="666">
        <v>2100</v>
      </c>
      <c r="H170" s="752">
        <v>0</v>
      </c>
      <c r="I170" s="668">
        <v>3250</v>
      </c>
      <c r="J170" s="669">
        <v>1250</v>
      </c>
      <c r="K170" s="670">
        <v>0</v>
      </c>
      <c r="L170" s="671"/>
      <c r="M170" s="670"/>
      <c r="N170" s="672">
        <v>0</v>
      </c>
      <c r="O170" s="673">
        <v>0</v>
      </c>
      <c r="P170" s="673">
        <v>0</v>
      </c>
      <c r="Q170" s="672">
        <v>0</v>
      </c>
      <c r="R170" s="673">
        <v>0</v>
      </c>
      <c r="S170" s="673">
        <v>0</v>
      </c>
      <c r="T170" s="673">
        <v>0</v>
      </c>
      <c r="U170" s="673">
        <v>0</v>
      </c>
      <c r="V170" s="673">
        <v>0</v>
      </c>
      <c r="W170" s="673">
        <v>0</v>
      </c>
      <c r="X170" s="673">
        <v>0</v>
      </c>
      <c r="Y170" s="673">
        <v>0</v>
      </c>
    </row>
    <row r="171" spans="1:27">
      <c r="A171" s="661" t="s">
        <v>926</v>
      </c>
      <c r="B171" s="759" t="s">
        <v>892</v>
      </c>
      <c r="C171" s="767" t="s">
        <v>927</v>
      </c>
      <c r="D171" s="663">
        <v>4000</v>
      </c>
      <c r="E171" s="675">
        <v>330</v>
      </c>
      <c r="F171" s="665">
        <v>4000</v>
      </c>
      <c r="G171" s="666">
        <v>7743.4</v>
      </c>
      <c r="H171" s="667">
        <v>1292.5</v>
      </c>
      <c r="I171" s="668">
        <v>12020.01</v>
      </c>
      <c r="J171" s="669">
        <v>2500</v>
      </c>
      <c r="K171" s="670">
        <v>550</v>
      </c>
      <c r="L171" s="671"/>
      <c r="M171" s="670"/>
      <c r="N171" s="672">
        <v>330.04</v>
      </c>
      <c r="O171" s="673">
        <v>330.04</v>
      </c>
      <c r="P171" s="673">
        <v>330.04</v>
      </c>
      <c r="Q171" s="672">
        <v>330.04</v>
      </c>
      <c r="R171" s="673">
        <v>330.04</v>
      </c>
      <c r="S171" s="673">
        <v>330.04</v>
      </c>
      <c r="T171" s="673">
        <v>330.04</v>
      </c>
      <c r="U171" s="673">
        <v>330.04</v>
      </c>
      <c r="V171" s="673">
        <v>330.04</v>
      </c>
      <c r="W171" s="673">
        <v>330.04</v>
      </c>
      <c r="X171" s="673">
        <v>330.04</v>
      </c>
      <c r="Y171" s="673">
        <v>330.04</v>
      </c>
    </row>
    <row r="172" spans="1:27">
      <c r="A172" s="661" t="s">
        <v>928</v>
      </c>
      <c r="B172" s="661" t="s">
        <v>294</v>
      </c>
      <c r="C172" s="662" t="s">
        <v>929</v>
      </c>
      <c r="D172" s="663">
        <v>1000</v>
      </c>
      <c r="E172" s="751">
        <v>0</v>
      </c>
      <c r="F172" s="665">
        <v>1000</v>
      </c>
      <c r="G172" s="666">
        <v>2031.25</v>
      </c>
      <c r="H172" s="752">
        <v>0</v>
      </c>
      <c r="I172" s="668">
        <v>338.25</v>
      </c>
      <c r="J172" s="669">
        <v>437.5</v>
      </c>
      <c r="K172" s="670">
        <v>0</v>
      </c>
      <c r="L172" s="671"/>
      <c r="M172" s="670"/>
      <c r="N172" s="672">
        <v>672</v>
      </c>
      <c r="O172" s="673">
        <v>672</v>
      </c>
      <c r="P172" s="673">
        <v>672</v>
      </c>
      <c r="Q172" s="672">
        <v>672</v>
      </c>
      <c r="R172" s="673">
        <v>672</v>
      </c>
      <c r="S172" s="673">
        <v>672</v>
      </c>
      <c r="T172" s="673">
        <v>672</v>
      </c>
      <c r="U172" s="673">
        <v>672</v>
      </c>
      <c r="V172" s="673">
        <v>672</v>
      </c>
      <c r="W172" s="673">
        <v>672</v>
      </c>
      <c r="X172" s="673">
        <v>672</v>
      </c>
      <c r="Y172" s="673">
        <v>672</v>
      </c>
    </row>
    <row r="173" spans="1:27">
      <c r="A173" s="661" t="s">
        <v>930</v>
      </c>
      <c r="B173" s="661" t="s">
        <v>358</v>
      </c>
      <c r="C173" s="662" t="s">
        <v>931</v>
      </c>
      <c r="D173" s="663">
        <v>6000</v>
      </c>
      <c r="E173" s="751">
        <v>0</v>
      </c>
      <c r="F173" s="665">
        <v>6000</v>
      </c>
      <c r="G173" s="666">
        <v>1262.5</v>
      </c>
      <c r="H173" s="752">
        <v>0</v>
      </c>
      <c r="I173" s="668">
        <v>318.5</v>
      </c>
      <c r="J173" s="669">
        <v>312.5</v>
      </c>
      <c r="K173" s="670">
        <v>32</v>
      </c>
      <c r="L173" s="671"/>
      <c r="M173" s="670"/>
      <c r="N173" s="672">
        <v>457.07</v>
      </c>
      <c r="O173" s="673">
        <v>457.07</v>
      </c>
      <c r="P173" s="673">
        <v>457.07</v>
      </c>
      <c r="Q173" s="672">
        <v>457.07</v>
      </c>
      <c r="R173" s="673">
        <v>457.07</v>
      </c>
      <c r="S173" s="673">
        <v>457.07</v>
      </c>
      <c r="T173" s="673">
        <v>457.07</v>
      </c>
      <c r="U173" s="673">
        <v>457.07</v>
      </c>
      <c r="V173" s="673">
        <v>457.07</v>
      </c>
      <c r="W173" s="673">
        <v>457.07</v>
      </c>
      <c r="X173" s="673">
        <v>457.07</v>
      </c>
      <c r="Y173" s="673">
        <v>457.07</v>
      </c>
    </row>
    <row r="174" spans="1:27">
      <c r="A174" s="661" t="s">
        <v>932</v>
      </c>
      <c r="B174" s="661" t="s">
        <v>361</v>
      </c>
      <c r="C174" s="767" t="s">
        <v>933</v>
      </c>
      <c r="D174" s="663">
        <v>7000</v>
      </c>
      <c r="E174" s="675">
        <v>0</v>
      </c>
      <c r="F174" s="665">
        <v>7000</v>
      </c>
      <c r="G174" s="666">
        <v>788.5</v>
      </c>
      <c r="H174" s="667">
        <v>0</v>
      </c>
      <c r="I174" s="668">
        <v>3798.5</v>
      </c>
      <c r="J174" s="669">
        <v>833.34</v>
      </c>
      <c r="K174" s="678">
        <v>0</v>
      </c>
      <c r="L174" s="679"/>
      <c r="M174" s="678"/>
      <c r="N174" s="672">
        <v>96</v>
      </c>
      <c r="O174" s="673">
        <v>96</v>
      </c>
      <c r="P174" s="673">
        <v>96</v>
      </c>
      <c r="Q174" s="672">
        <v>96</v>
      </c>
      <c r="R174" s="673">
        <v>96</v>
      </c>
      <c r="S174" s="673">
        <v>96</v>
      </c>
      <c r="T174" s="673">
        <v>96</v>
      </c>
      <c r="U174" s="673">
        <v>96</v>
      </c>
      <c r="V174" s="680">
        <v>96</v>
      </c>
      <c r="W174" s="680">
        <v>96</v>
      </c>
      <c r="X174" s="680">
        <v>96</v>
      </c>
      <c r="Y174" s="680">
        <v>96</v>
      </c>
    </row>
    <row r="175" spans="1:27">
      <c r="A175" s="661" t="s">
        <v>934</v>
      </c>
      <c r="B175" s="674" t="s">
        <v>864</v>
      </c>
      <c r="C175" s="662" t="s">
        <v>935</v>
      </c>
      <c r="D175" s="663">
        <v>1500</v>
      </c>
      <c r="E175" s="751">
        <v>187.73</v>
      </c>
      <c r="F175" s="665">
        <v>1500</v>
      </c>
      <c r="G175" s="666">
        <v>4950</v>
      </c>
      <c r="H175" s="752">
        <v>166.48</v>
      </c>
      <c r="I175" s="668">
        <v>19138.34</v>
      </c>
      <c r="J175" s="669">
        <v>1166.67</v>
      </c>
      <c r="K175" s="670">
        <v>1677.23</v>
      </c>
      <c r="L175" s="671"/>
      <c r="M175" s="670"/>
      <c r="N175" s="672">
        <v>74.989999999999995</v>
      </c>
      <c r="O175" s="673">
        <v>74.989999999999995</v>
      </c>
      <c r="P175" s="673">
        <v>102.64</v>
      </c>
      <c r="Q175" s="672">
        <v>102.64</v>
      </c>
      <c r="R175" s="673">
        <v>102.64</v>
      </c>
      <c r="S175" s="673">
        <v>102.64</v>
      </c>
      <c r="T175" s="673">
        <v>102.64</v>
      </c>
      <c r="U175" s="673">
        <v>102.64</v>
      </c>
      <c r="V175" s="673">
        <v>102.64</v>
      </c>
      <c r="W175" s="673">
        <v>102.64</v>
      </c>
      <c r="X175" s="673">
        <v>102.64</v>
      </c>
      <c r="Y175" s="673">
        <v>102.64</v>
      </c>
    </row>
    <row r="176" spans="1:27">
      <c r="A176" s="661" t="s">
        <v>936</v>
      </c>
      <c r="B176" s="661" t="s">
        <v>459</v>
      </c>
      <c r="C176" s="662" t="s">
        <v>937</v>
      </c>
      <c r="D176" s="663">
        <v>500</v>
      </c>
      <c r="E176" s="751">
        <v>0</v>
      </c>
      <c r="F176" s="665">
        <v>500</v>
      </c>
      <c r="G176" s="666">
        <v>1000</v>
      </c>
      <c r="H176" s="752">
        <v>0</v>
      </c>
      <c r="I176" s="668">
        <v>5000</v>
      </c>
      <c r="J176" s="669">
        <v>5000</v>
      </c>
      <c r="K176" s="670">
        <v>0</v>
      </c>
      <c r="L176" s="671"/>
      <c r="M176" s="670"/>
      <c r="N176" s="672">
        <v>0</v>
      </c>
      <c r="O176" s="673">
        <v>0</v>
      </c>
      <c r="P176" s="673">
        <v>0</v>
      </c>
      <c r="Q176" s="672">
        <v>0</v>
      </c>
      <c r="R176" s="673">
        <v>0</v>
      </c>
      <c r="S176" s="673">
        <v>0</v>
      </c>
      <c r="T176" s="673">
        <v>0</v>
      </c>
      <c r="U176" s="673">
        <v>0</v>
      </c>
      <c r="V176" s="673">
        <v>0</v>
      </c>
      <c r="W176" s="673">
        <v>0</v>
      </c>
      <c r="X176" s="673">
        <v>0</v>
      </c>
      <c r="Y176" s="673">
        <v>0</v>
      </c>
    </row>
    <row r="177" spans="1:27">
      <c r="A177" s="682" t="s">
        <v>446</v>
      </c>
      <c r="B177" s="682"/>
      <c r="C177" s="683" t="s">
        <v>938</v>
      </c>
      <c r="D177" s="684"/>
      <c r="E177" s="747"/>
      <c r="F177" s="686"/>
      <c r="G177" s="685"/>
      <c r="H177" s="748"/>
      <c r="I177" s="688"/>
      <c r="J177" s="689"/>
      <c r="K177" s="749"/>
      <c r="L177" s="750"/>
      <c r="M177" s="749"/>
      <c r="N177" s="692"/>
      <c r="O177" s="693"/>
      <c r="P177" s="693"/>
      <c r="Q177" s="692"/>
      <c r="R177" s="693"/>
      <c r="S177" s="693"/>
      <c r="T177" s="693"/>
      <c r="U177" s="693"/>
      <c r="V177" s="693"/>
      <c r="W177" s="693"/>
      <c r="X177" s="693"/>
      <c r="Y177" s="693"/>
    </row>
    <row r="178" spans="1:27">
      <c r="A178" s="661" t="s">
        <v>448</v>
      </c>
      <c r="B178" s="768"/>
      <c r="C178" s="662" t="s">
        <v>939</v>
      </c>
      <c r="D178" s="663">
        <v>0</v>
      </c>
      <c r="E178" s="751">
        <v>0</v>
      </c>
      <c r="F178" s="665">
        <v>0</v>
      </c>
      <c r="G178" s="666">
        <v>0</v>
      </c>
      <c r="H178" s="769">
        <v>0</v>
      </c>
      <c r="I178" s="668">
        <v>0</v>
      </c>
      <c r="J178" s="669"/>
      <c r="K178" s="770">
        <v>0</v>
      </c>
      <c r="L178" s="671"/>
      <c r="M178" s="670"/>
      <c r="N178" s="672">
        <v>0</v>
      </c>
      <c r="O178" s="672">
        <v>0</v>
      </c>
      <c r="P178" s="673">
        <v>0</v>
      </c>
      <c r="Q178" s="672">
        <v>0</v>
      </c>
      <c r="R178" s="672">
        <v>0</v>
      </c>
      <c r="S178" s="672">
        <v>0</v>
      </c>
      <c r="T178" s="672">
        <v>0</v>
      </c>
      <c r="U178" s="672">
        <v>0</v>
      </c>
      <c r="V178" s="672">
        <v>0</v>
      </c>
      <c r="W178" s="672">
        <v>0</v>
      </c>
      <c r="X178" s="672">
        <v>0</v>
      </c>
      <c r="Y178" s="672">
        <v>0</v>
      </c>
    </row>
    <row r="179" spans="1:27">
      <c r="A179" s="661" t="s">
        <v>451</v>
      </c>
      <c r="B179" s="768"/>
      <c r="C179" s="662" t="s">
        <v>940</v>
      </c>
      <c r="D179" s="663">
        <v>0</v>
      </c>
      <c r="E179" s="751">
        <v>0</v>
      </c>
      <c r="F179" s="665">
        <v>0</v>
      </c>
      <c r="G179" s="771">
        <v>0</v>
      </c>
      <c r="H179" s="769">
        <v>0</v>
      </c>
      <c r="I179" s="772">
        <v>0</v>
      </c>
      <c r="J179" s="669"/>
      <c r="K179" s="770">
        <v>0</v>
      </c>
      <c r="L179" s="671"/>
      <c r="M179" s="670"/>
      <c r="N179" s="672">
        <v>0</v>
      </c>
      <c r="O179" s="672">
        <v>0</v>
      </c>
      <c r="P179" s="673">
        <v>0</v>
      </c>
      <c r="Q179" s="672">
        <v>0</v>
      </c>
      <c r="R179" s="672">
        <v>0</v>
      </c>
      <c r="S179" s="672">
        <v>0</v>
      </c>
      <c r="T179" s="672">
        <v>0</v>
      </c>
      <c r="U179" s="672">
        <v>0</v>
      </c>
      <c r="V179" s="672">
        <v>0</v>
      </c>
      <c r="W179" s="672">
        <v>0</v>
      </c>
      <c r="X179" s="672">
        <v>0</v>
      </c>
      <c r="Y179" s="672">
        <v>0</v>
      </c>
    </row>
    <row r="180" spans="1:27">
      <c r="A180" s="773"/>
      <c r="B180" s="650"/>
      <c r="C180" s="649" t="s">
        <v>941</v>
      </c>
      <c r="D180" s="651">
        <f t="shared" ref="D180:Y180" si="17">SUM(D56:D179)</f>
        <v>533570</v>
      </c>
      <c r="E180" s="708">
        <f t="shared" si="17"/>
        <v>418690.32999999996</v>
      </c>
      <c r="F180" s="653">
        <f t="shared" si="17"/>
        <v>533570</v>
      </c>
      <c r="G180" s="708">
        <f t="shared" si="17"/>
        <v>614830.03000000038</v>
      </c>
      <c r="H180" s="774">
        <f t="shared" ref="H180" si="18">SUM(H56:H179)</f>
        <v>105439.24999999999</v>
      </c>
      <c r="I180" s="710">
        <f t="shared" si="17"/>
        <v>626972.76</v>
      </c>
      <c r="J180" s="711">
        <f t="shared" ref="J180:K180" si="19">SUM(J56:J179)</f>
        <v>182132.49999999997</v>
      </c>
      <c r="K180" s="711">
        <f t="shared" si="19"/>
        <v>132304.22999999998</v>
      </c>
      <c r="L180" s="713"/>
      <c r="M180" s="712"/>
      <c r="N180" s="714">
        <f t="shared" si="17"/>
        <v>16966.2</v>
      </c>
      <c r="O180" s="714">
        <f t="shared" si="17"/>
        <v>28935.140000000007</v>
      </c>
      <c r="P180" s="715">
        <f t="shared" si="17"/>
        <v>45633.880000000005</v>
      </c>
      <c r="Q180" s="714">
        <f t="shared" si="17"/>
        <v>54039.810000000005</v>
      </c>
      <c r="R180" s="714">
        <f t="shared" si="17"/>
        <v>65874.800000000017</v>
      </c>
      <c r="S180" s="714">
        <f t="shared" si="17"/>
        <v>82762.930000000008</v>
      </c>
      <c r="T180" s="714">
        <f t="shared" si="17"/>
        <v>99925.090000000011</v>
      </c>
      <c r="U180" s="714">
        <f t="shared" ref="U180" si="20">SUM(U56:U179)</f>
        <v>102810.44</v>
      </c>
      <c r="V180" s="714">
        <f t="shared" si="17"/>
        <v>111612.50000000001</v>
      </c>
      <c r="W180" s="714">
        <f t="shared" si="17"/>
        <v>125770.19000000003</v>
      </c>
      <c r="X180" s="714">
        <f t="shared" si="17"/>
        <v>143543.66000000003</v>
      </c>
      <c r="Y180" s="714">
        <f t="shared" si="17"/>
        <v>163075.91000000009</v>
      </c>
    </row>
    <row r="181" spans="1:27">
      <c r="A181" s="682" t="s">
        <v>942</v>
      </c>
      <c r="B181" s="682"/>
      <c r="C181" s="683" t="s">
        <v>943</v>
      </c>
      <c r="D181" s="684"/>
      <c r="E181" s="747"/>
      <c r="F181" s="686"/>
      <c r="G181" s="747"/>
      <c r="H181" s="748"/>
      <c r="I181" s="775"/>
      <c r="J181" s="776"/>
      <c r="K181" s="749"/>
      <c r="L181" s="750"/>
      <c r="M181" s="749"/>
      <c r="N181" s="692"/>
      <c r="O181" s="693"/>
      <c r="P181" s="693"/>
      <c r="Q181" s="692"/>
      <c r="R181" s="693"/>
      <c r="S181" s="693"/>
      <c r="T181" s="693"/>
      <c r="U181" s="693"/>
      <c r="V181" s="693"/>
      <c r="W181" s="693"/>
      <c r="X181" s="693"/>
      <c r="Y181" s="693"/>
    </row>
    <row r="182" spans="1:27">
      <c r="A182" s="682" t="s">
        <v>944</v>
      </c>
      <c r="B182" s="682"/>
      <c r="C182" s="683" t="s">
        <v>945</v>
      </c>
      <c r="D182" s="684"/>
      <c r="E182" s="747"/>
      <c r="F182" s="686"/>
      <c r="G182" s="747"/>
      <c r="H182" s="748"/>
      <c r="I182" s="775"/>
      <c r="J182" s="776"/>
      <c r="K182" s="749"/>
      <c r="L182" s="750"/>
      <c r="M182" s="749"/>
      <c r="N182" s="692"/>
      <c r="O182" s="693"/>
      <c r="P182" s="693"/>
      <c r="Q182" s="692"/>
      <c r="R182" s="693"/>
      <c r="S182" s="693"/>
      <c r="T182" s="693"/>
      <c r="U182" s="693"/>
      <c r="V182" s="693"/>
      <c r="W182" s="693"/>
      <c r="X182" s="693"/>
      <c r="Y182" s="693"/>
    </row>
    <row r="183" spans="1:27">
      <c r="A183" s="661" t="s">
        <v>946</v>
      </c>
      <c r="B183" s="674" t="s">
        <v>689</v>
      </c>
      <c r="C183" s="662" t="s">
        <v>947</v>
      </c>
      <c r="D183" s="663">
        <v>0</v>
      </c>
      <c r="E183" s="751">
        <v>0</v>
      </c>
      <c r="F183" s="665">
        <v>0</v>
      </c>
      <c r="G183" s="666">
        <v>335</v>
      </c>
      <c r="H183" s="752">
        <v>0</v>
      </c>
      <c r="I183" s="668">
        <v>2566.66</v>
      </c>
      <c r="J183" s="669">
        <v>500</v>
      </c>
      <c r="K183" s="670">
        <v>0</v>
      </c>
      <c r="L183" s="671"/>
      <c r="M183" s="670"/>
      <c r="N183" s="672">
        <v>0</v>
      </c>
      <c r="O183" s="673">
        <v>0</v>
      </c>
      <c r="P183" s="673">
        <v>0</v>
      </c>
      <c r="Q183" s="672">
        <v>0</v>
      </c>
      <c r="R183" s="673">
        <v>0</v>
      </c>
      <c r="S183" s="673">
        <v>0</v>
      </c>
      <c r="T183" s="673">
        <v>0</v>
      </c>
      <c r="U183" s="673">
        <v>0</v>
      </c>
      <c r="V183" s="673">
        <v>0</v>
      </c>
      <c r="W183" s="673">
        <v>0</v>
      </c>
      <c r="X183" s="673">
        <v>0</v>
      </c>
      <c r="Y183" s="673">
        <v>0</v>
      </c>
    </row>
    <row r="184" spans="1:27">
      <c r="A184" s="661" t="s">
        <v>948</v>
      </c>
      <c r="B184" s="661" t="s">
        <v>270</v>
      </c>
      <c r="C184" s="662" t="s">
        <v>949</v>
      </c>
      <c r="D184" s="663">
        <v>0</v>
      </c>
      <c r="E184" s="675">
        <v>0</v>
      </c>
      <c r="F184" s="665">
        <v>0</v>
      </c>
      <c r="G184" s="666">
        <v>2100</v>
      </c>
      <c r="H184" s="667">
        <v>0</v>
      </c>
      <c r="I184" s="668">
        <v>3250</v>
      </c>
      <c r="J184" s="669">
        <v>1250</v>
      </c>
      <c r="K184" s="678">
        <v>0</v>
      </c>
      <c r="L184" s="679"/>
      <c r="M184" s="678"/>
      <c r="N184" s="705">
        <v>0</v>
      </c>
      <c r="O184" s="680">
        <v>0</v>
      </c>
      <c r="P184" s="680">
        <v>0</v>
      </c>
      <c r="Q184" s="705">
        <v>0</v>
      </c>
      <c r="R184" s="680">
        <v>0</v>
      </c>
      <c r="S184" s="680">
        <v>0</v>
      </c>
      <c r="T184" s="680">
        <v>0</v>
      </c>
      <c r="U184" s="680">
        <v>0</v>
      </c>
      <c r="V184" s="680">
        <v>0</v>
      </c>
      <c r="W184" s="680">
        <v>0</v>
      </c>
      <c r="X184" s="680">
        <v>0</v>
      </c>
      <c r="Y184" s="680">
        <v>0</v>
      </c>
    </row>
    <row r="185" spans="1:27">
      <c r="A185" s="661" t="s">
        <v>516</v>
      </c>
      <c r="B185" s="661" t="s">
        <v>515</v>
      </c>
      <c r="C185" s="662" t="s">
        <v>950</v>
      </c>
      <c r="D185" s="663">
        <v>200</v>
      </c>
      <c r="E185" s="675">
        <v>150</v>
      </c>
      <c r="F185" s="665">
        <v>200</v>
      </c>
      <c r="G185" s="666">
        <v>500</v>
      </c>
      <c r="H185" s="667">
        <v>150</v>
      </c>
      <c r="I185" s="668">
        <v>150</v>
      </c>
      <c r="J185" s="669">
        <v>1200</v>
      </c>
      <c r="K185" s="678">
        <v>150</v>
      </c>
      <c r="L185" s="679"/>
      <c r="M185" s="678"/>
      <c r="N185" s="705">
        <v>0</v>
      </c>
      <c r="O185" s="680">
        <v>0</v>
      </c>
      <c r="P185" s="680">
        <v>100</v>
      </c>
      <c r="Q185" s="705">
        <v>100</v>
      </c>
      <c r="R185" s="680">
        <v>100</v>
      </c>
      <c r="S185" s="680">
        <v>100</v>
      </c>
      <c r="T185" s="680">
        <v>100</v>
      </c>
      <c r="U185" s="680">
        <v>100</v>
      </c>
      <c r="V185" s="680">
        <v>100</v>
      </c>
      <c r="W185" s="680">
        <v>100</v>
      </c>
      <c r="X185" s="680">
        <v>100</v>
      </c>
      <c r="Y185" s="680">
        <v>100</v>
      </c>
    </row>
    <row r="186" spans="1:27">
      <c r="A186" s="661" t="s">
        <v>951</v>
      </c>
      <c r="B186" s="661" t="s">
        <v>294</v>
      </c>
      <c r="C186" s="662" t="s">
        <v>952</v>
      </c>
      <c r="D186" s="663">
        <v>0</v>
      </c>
      <c r="E186" s="675">
        <v>0</v>
      </c>
      <c r="F186" s="665">
        <v>0</v>
      </c>
      <c r="G186" s="666">
        <v>2031.25</v>
      </c>
      <c r="H186" s="667">
        <v>0</v>
      </c>
      <c r="I186" s="668">
        <v>338.25</v>
      </c>
      <c r="J186" s="669">
        <v>437.5</v>
      </c>
      <c r="K186" s="678">
        <v>0</v>
      </c>
      <c r="L186" s="679"/>
      <c r="M186" s="678"/>
      <c r="N186" s="705">
        <v>0</v>
      </c>
      <c r="O186" s="680">
        <v>0</v>
      </c>
      <c r="P186" s="680">
        <v>0</v>
      </c>
      <c r="Q186" s="705">
        <v>0</v>
      </c>
      <c r="R186" s="680">
        <v>0</v>
      </c>
      <c r="S186" s="680">
        <v>0</v>
      </c>
      <c r="T186" s="680">
        <v>0</v>
      </c>
      <c r="U186" s="680">
        <v>0</v>
      </c>
      <c r="V186" s="680">
        <v>0</v>
      </c>
      <c r="W186" s="680">
        <v>0</v>
      </c>
      <c r="X186" s="680">
        <v>0</v>
      </c>
      <c r="Y186" s="680">
        <v>0</v>
      </c>
    </row>
    <row r="187" spans="1:27">
      <c r="A187" s="661" t="s">
        <v>953</v>
      </c>
      <c r="B187" s="661"/>
      <c r="C187" s="662" t="s">
        <v>954</v>
      </c>
      <c r="D187" s="663">
        <v>0</v>
      </c>
      <c r="E187" s="675">
        <v>0</v>
      </c>
      <c r="F187" s="665">
        <v>0</v>
      </c>
      <c r="G187" s="666">
        <v>0</v>
      </c>
      <c r="H187" s="667">
        <v>0</v>
      </c>
      <c r="I187" s="668">
        <v>0</v>
      </c>
      <c r="J187" s="669"/>
      <c r="K187" s="678">
        <v>0</v>
      </c>
      <c r="L187" s="679"/>
      <c r="M187" s="678"/>
      <c r="N187" s="705">
        <v>0</v>
      </c>
      <c r="O187" s="680">
        <v>0</v>
      </c>
      <c r="P187" s="680">
        <v>0</v>
      </c>
      <c r="Q187" s="705">
        <v>0</v>
      </c>
      <c r="R187" s="680">
        <v>0</v>
      </c>
      <c r="S187" s="680">
        <v>0</v>
      </c>
      <c r="T187" s="680">
        <v>0</v>
      </c>
      <c r="U187" s="680">
        <v>0</v>
      </c>
      <c r="V187" s="680">
        <v>0</v>
      </c>
      <c r="W187" s="680">
        <v>0</v>
      </c>
      <c r="X187" s="680">
        <v>0</v>
      </c>
      <c r="Y187" s="680">
        <v>0</v>
      </c>
    </row>
    <row r="188" spans="1:27">
      <c r="A188" s="661" t="s">
        <v>519</v>
      </c>
      <c r="B188" s="661" t="s">
        <v>518</v>
      </c>
      <c r="C188" s="662" t="s">
        <v>955</v>
      </c>
      <c r="D188" s="663">
        <v>200</v>
      </c>
      <c r="E188" s="675">
        <v>0</v>
      </c>
      <c r="F188" s="665">
        <v>200</v>
      </c>
      <c r="G188" s="666">
        <v>200</v>
      </c>
      <c r="H188" s="667">
        <v>0</v>
      </c>
      <c r="I188" s="668">
        <v>0</v>
      </c>
      <c r="J188" s="669">
        <v>0</v>
      </c>
      <c r="K188" s="678">
        <v>0</v>
      </c>
      <c r="L188" s="679"/>
      <c r="M188" s="678"/>
      <c r="N188" s="705">
        <v>0</v>
      </c>
      <c r="O188" s="680">
        <v>0</v>
      </c>
      <c r="P188" s="680">
        <v>0</v>
      </c>
      <c r="Q188" s="705">
        <v>0</v>
      </c>
      <c r="R188" s="680">
        <v>0</v>
      </c>
      <c r="S188" s="680">
        <v>0</v>
      </c>
      <c r="T188" s="680">
        <v>0</v>
      </c>
      <c r="U188" s="680">
        <v>0</v>
      </c>
      <c r="V188" s="680">
        <v>0</v>
      </c>
      <c r="W188" s="680">
        <v>0</v>
      </c>
      <c r="X188" s="680">
        <v>0</v>
      </c>
      <c r="Y188" s="680">
        <v>0</v>
      </c>
    </row>
    <row r="189" spans="1:27">
      <c r="A189" s="661" t="s">
        <v>526</v>
      </c>
      <c r="B189" s="661" t="s">
        <v>525</v>
      </c>
      <c r="C189" s="662" t="s">
        <v>956</v>
      </c>
      <c r="D189" s="663">
        <v>3264.02</v>
      </c>
      <c r="E189" s="675">
        <v>3264.02</v>
      </c>
      <c r="F189" s="665">
        <v>3264.02</v>
      </c>
      <c r="G189" s="666">
        <v>3300</v>
      </c>
      <c r="H189" s="667">
        <v>2365.73</v>
      </c>
      <c r="I189" s="668">
        <v>3500</v>
      </c>
      <c r="J189" s="669">
        <v>7000</v>
      </c>
      <c r="K189" s="678">
        <v>6206.36</v>
      </c>
      <c r="L189" s="679"/>
      <c r="M189" s="678"/>
      <c r="N189" s="705">
        <v>0</v>
      </c>
      <c r="O189" s="680">
        <v>0</v>
      </c>
      <c r="P189" s="680">
        <v>0</v>
      </c>
      <c r="Q189" s="705">
        <v>0</v>
      </c>
      <c r="R189" s="680">
        <v>0</v>
      </c>
      <c r="S189" s="680">
        <v>0</v>
      </c>
      <c r="T189" s="680">
        <v>0</v>
      </c>
      <c r="U189" s="680">
        <v>0</v>
      </c>
      <c r="V189" s="680">
        <v>0</v>
      </c>
      <c r="W189" s="680">
        <v>0</v>
      </c>
      <c r="X189" s="680">
        <v>0</v>
      </c>
      <c r="Y189" s="680">
        <v>0</v>
      </c>
    </row>
    <row r="190" spans="1:27">
      <c r="A190" s="661" t="s">
        <v>529</v>
      </c>
      <c r="B190" s="661" t="s">
        <v>528</v>
      </c>
      <c r="C190" s="662" t="s">
        <v>957</v>
      </c>
      <c r="D190" s="663">
        <v>25</v>
      </c>
      <c r="E190" s="675">
        <v>25</v>
      </c>
      <c r="F190" s="665">
        <v>25</v>
      </c>
      <c r="G190" s="666">
        <v>75</v>
      </c>
      <c r="H190" s="667">
        <v>25</v>
      </c>
      <c r="I190" s="668">
        <v>100</v>
      </c>
      <c r="J190" s="669">
        <v>75</v>
      </c>
      <c r="K190" s="678">
        <v>25</v>
      </c>
      <c r="L190" s="679"/>
      <c r="M190" s="678"/>
      <c r="N190" s="705">
        <v>0</v>
      </c>
      <c r="O190" s="680">
        <v>0</v>
      </c>
      <c r="P190" s="680">
        <v>25</v>
      </c>
      <c r="Q190" s="705">
        <v>25</v>
      </c>
      <c r="R190" s="680">
        <v>25</v>
      </c>
      <c r="S190" s="680">
        <v>25</v>
      </c>
      <c r="T190" s="680">
        <v>25</v>
      </c>
      <c r="U190" s="680">
        <v>25</v>
      </c>
      <c r="V190" s="680">
        <v>25</v>
      </c>
      <c r="W190" s="680">
        <v>25</v>
      </c>
      <c r="X190" s="680">
        <v>25</v>
      </c>
      <c r="Y190" s="680">
        <v>25</v>
      </c>
    </row>
    <row r="191" spans="1:27" s="76" customFormat="1">
      <c r="A191" s="682" t="s">
        <v>958</v>
      </c>
      <c r="B191" s="682"/>
      <c r="C191" s="683" t="s">
        <v>959</v>
      </c>
      <c r="D191" s="684"/>
      <c r="E191" s="716"/>
      <c r="F191" s="686"/>
      <c r="G191" s="696"/>
      <c r="H191" s="717"/>
      <c r="I191" s="698"/>
      <c r="J191" s="699"/>
      <c r="K191" s="749"/>
      <c r="L191" s="750"/>
      <c r="M191" s="749"/>
      <c r="N191" s="702"/>
      <c r="O191" s="703"/>
      <c r="P191" s="703"/>
      <c r="Q191" s="702"/>
      <c r="R191" s="703"/>
      <c r="S191" s="703"/>
      <c r="T191" s="703"/>
      <c r="U191" s="703"/>
      <c r="V191" s="703"/>
      <c r="W191" s="703"/>
      <c r="X191" s="693"/>
      <c r="Y191" s="693"/>
      <c r="Z191" s="74"/>
      <c r="AA191" s="75"/>
    </row>
    <row r="192" spans="1:27">
      <c r="A192" s="661" t="s">
        <v>178</v>
      </c>
      <c r="B192" s="661" t="s">
        <v>177</v>
      </c>
      <c r="C192" s="662" t="s">
        <v>960</v>
      </c>
      <c r="D192" s="663">
        <v>1500</v>
      </c>
      <c r="E192" s="675">
        <v>795</v>
      </c>
      <c r="F192" s="665">
        <v>1500</v>
      </c>
      <c r="G192" s="666">
        <v>1000</v>
      </c>
      <c r="H192" s="667">
        <v>390</v>
      </c>
      <c r="I192" s="668">
        <v>1000</v>
      </c>
      <c r="J192" s="669">
        <v>1000</v>
      </c>
      <c r="K192" s="678">
        <v>785</v>
      </c>
      <c r="L192" s="679"/>
      <c r="M192" s="678"/>
      <c r="N192" s="672">
        <v>0</v>
      </c>
      <c r="O192" s="673">
        <v>0</v>
      </c>
      <c r="P192" s="673">
        <v>0</v>
      </c>
      <c r="Q192" s="672">
        <v>0</v>
      </c>
      <c r="R192" s="673">
        <v>290</v>
      </c>
      <c r="S192" s="673">
        <v>450</v>
      </c>
      <c r="T192" s="673">
        <v>750</v>
      </c>
      <c r="U192" s="673">
        <v>750</v>
      </c>
      <c r="V192" s="680">
        <v>855</v>
      </c>
      <c r="W192" s="680">
        <v>915</v>
      </c>
      <c r="X192" s="680">
        <v>915</v>
      </c>
      <c r="Y192" s="680">
        <v>915</v>
      </c>
    </row>
    <row r="193" spans="1:27">
      <c r="A193" s="661" t="s">
        <v>286</v>
      </c>
      <c r="B193" s="661" t="s">
        <v>285</v>
      </c>
      <c r="C193" s="662" t="s">
        <v>961</v>
      </c>
      <c r="D193" s="663">
        <v>2500</v>
      </c>
      <c r="E193" s="675">
        <v>1611.86</v>
      </c>
      <c r="F193" s="665">
        <v>2500</v>
      </c>
      <c r="G193" s="666">
        <v>3000</v>
      </c>
      <c r="H193" s="667">
        <v>449.5</v>
      </c>
      <c r="I193" s="668">
        <v>5000</v>
      </c>
      <c r="J193" s="669">
        <v>1500</v>
      </c>
      <c r="K193" s="678">
        <v>762.1</v>
      </c>
      <c r="L193" s="679"/>
      <c r="M193" s="678"/>
      <c r="N193" s="672">
        <v>0</v>
      </c>
      <c r="O193" s="680">
        <v>0</v>
      </c>
      <c r="P193" s="680">
        <v>0</v>
      </c>
      <c r="Q193" s="705">
        <v>0</v>
      </c>
      <c r="R193" s="680">
        <v>311.2</v>
      </c>
      <c r="S193" s="680">
        <v>456.8</v>
      </c>
      <c r="T193" s="680">
        <v>1143.8</v>
      </c>
      <c r="U193" s="680">
        <v>1143.8</v>
      </c>
      <c r="V193" s="680">
        <v>1314.2</v>
      </c>
      <c r="W193" s="680">
        <v>1314.2</v>
      </c>
      <c r="X193" s="680">
        <v>1314.2</v>
      </c>
      <c r="Y193" s="680">
        <v>1314.2</v>
      </c>
    </row>
    <row r="194" spans="1:27">
      <c r="A194" s="661" t="s">
        <v>962</v>
      </c>
      <c r="B194" s="661" t="s">
        <v>521</v>
      </c>
      <c r="C194" s="662" t="s">
        <v>963</v>
      </c>
      <c r="D194" s="663">
        <v>300</v>
      </c>
      <c r="E194" s="675">
        <v>0</v>
      </c>
      <c r="F194" s="665">
        <v>300</v>
      </c>
      <c r="G194" s="666">
        <v>167</v>
      </c>
      <c r="H194" s="667">
        <v>0</v>
      </c>
      <c r="I194" s="668">
        <v>0</v>
      </c>
      <c r="J194" s="669">
        <v>0</v>
      </c>
      <c r="K194" s="678">
        <v>0</v>
      </c>
      <c r="L194" s="679"/>
      <c r="M194" s="678"/>
      <c r="N194" s="672">
        <v>0</v>
      </c>
      <c r="O194" s="680">
        <v>0</v>
      </c>
      <c r="P194" s="680">
        <v>0</v>
      </c>
      <c r="Q194" s="705">
        <v>0</v>
      </c>
      <c r="R194" s="680">
        <v>0</v>
      </c>
      <c r="S194" s="680">
        <v>0</v>
      </c>
      <c r="T194" s="680">
        <v>0</v>
      </c>
      <c r="U194" s="680">
        <v>0</v>
      </c>
      <c r="V194" s="680">
        <v>0</v>
      </c>
      <c r="W194" s="680">
        <v>0</v>
      </c>
      <c r="X194" s="680">
        <v>0</v>
      </c>
      <c r="Y194" s="680">
        <v>0</v>
      </c>
    </row>
    <row r="195" spans="1:27">
      <c r="A195" s="661" t="s">
        <v>315</v>
      </c>
      <c r="B195" s="661" t="s">
        <v>314</v>
      </c>
      <c r="C195" s="662" t="s">
        <v>964</v>
      </c>
      <c r="D195" s="663">
        <v>1500</v>
      </c>
      <c r="E195" s="675">
        <v>643</v>
      </c>
      <c r="F195" s="665">
        <v>1500</v>
      </c>
      <c r="G195" s="666">
        <v>2000</v>
      </c>
      <c r="H195" s="667">
        <v>320</v>
      </c>
      <c r="I195" s="668">
        <v>2000</v>
      </c>
      <c r="J195" s="669">
        <v>800</v>
      </c>
      <c r="K195" s="678">
        <v>620.79999999999995</v>
      </c>
      <c r="L195" s="679"/>
      <c r="M195" s="678"/>
      <c r="N195" s="672">
        <v>0</v>
      </c>
      <c r="O195" s="680">
        <v>0</v>
      </c>
      <c r="P195" s="680">
        <v>0</v>
      </c>
      <c r="Q195" s="705">
        <v>0</v>
      </c>
      <c r="R195" s="680">
        <v>787.2</v>
      </c>
      <c r="S195" s="680">
        <v>787.2</v>
      </c>
      <c r="T195" s="680">
        <v>787.2</v>
      </c>
      <c r="U195" s="680">
        <v>787.2</v>
      </c>
      <c r="V195" s="680">
        <v>787.2</v>
      </c>
      <c r="W195" s="680">
        <v>787.2</v>
      </c>
      <c r="X195" s="680">
        <v>787.2</v>
      </c>
      <c r="Y195" s="680">
        <v>787.2</v>
      </c>
    </row>
    <row r="196" spans="1:27">
      <c r="A196" s="661" t="s">
        <v>336</v>
      </c>
      <c r="B196" s="661" t="s">
        <v>335</v>
      </c>
      <c r="C196" s="662" t="s">
        <v>965</v>
      </c>
      <c r="D196" s="663">
        <v>200</v>
      </c>
      <c r="E196" s="675">
        <v>8.98</v>
      </c>
      <c r="F196" s="665">
        <v>200</v>
      </c>
      <c r="G196" s="666">
        <v>500</v>
      </c>
      <c r="H196" s="667">
        <v>0</v>
      </c>
      <c r="I196" s="668">
        <v>1500</v>
      </c>
      <c r="J196" s="669">
        <v>400</v>
      </c>
      <c r="K196" s="678">
        <v>159.62</v>
      </c>
      <c r="L196" s="679"/>
      <c r="M196" s="678"/>
      <c r="N196" s="672">
        <v>0</v>
      </c>
      <c r="O196" s="680">
        <v>0</v>
      </c>
      <c r="P196" s="680">
        <v>0</v>
      </c>
      <c r="Q196" s="705">
        <v>134.94</v>
      </c>
      <c r="R196" s="680">
        <v>334.56</v>
      </c>
      <c r="S196" s="680">
        <v>334.56</v>
      </c>
      <c r="T196" s="680">
        <v>334.56</v>
      </c>
      <c r="U196" s="680">
        <v>334.56</v>
      </c>
      <c r="V196" s="680">
        <v>334.56</v>
      </c>
      <c r="W196" s="680">
        <v>334.56</v>
      </c>
      <c r="X196" s="680">
        <v>334.56</v>
      </c>
      <c r="Y196" s="680">
        <v>334.56</v>
      </c>
    </row>
    <row r="197" spans="1:27">
      <c r="A197" s="661" t="s">
        <v>966</v>
      </c>
      <c r="B197" s="661" t="s">
        <v>521</v>
      </c>
      <c r="C197" s="662" t="s">
        <v>967</v>
      </c>
      <c r="D197" s="663">
        <v>100</v>
      </c>
      <c r="E197" s="675">
        <v>0</v>
      </c>
      <c r="F197" s="665">
        <v>100</v>
      </c>
      <c r="G197" s="666">
        <v>167</v>
      </c>
      <c r="H197" s="667">
        <v>0</v>
      </c>
      <c r="I197" s="668">
        <v>0</v>
      </c>
      <c r="J197" s="669">
        <v>0</v>
      </c>
      <c r="K197" s="678">
        <v>0</v>
      </c>
      <c r="L197" s="679"/>
      <c r="M197" s="678"/>
      <c r="N197" s="672">
        <v>0</v>
      </c>
      <c r="O197" s="680">
        <v>0</v>
      </c>
      <c r="P197" s="680">
        <v>0</v>
      </c>
      <c r="Q197" s="705">
        <v>0</v>
      </c>
      <c r="R197" s="680">
        <v>0</v>
      </c>
      <c r="S197" s="680">
        <v>0</v>
      </c>
      <c r="T197" s="680">
        <v>0</v>
      </c>
      <c r="U197" s="680">
        <v>0</v>
      </c>
      <c r="V197" s="680">
        <v>0</v>
      </c>
      <c r="W197" s="680">
        <v>0</v>
      </c>
      <c r="X197" s="680">
        <v>0</v>
      </c>
      <c r="Y197" s="680">
        <v>0</v>
      </c>
    </row>
    <row r="198" spans="1:27" s="76" customFormat="1">
      <c r="A198" s="682" t="s">
        <v>968</v>
      </c>
      <c r="B198" s="682"/>
      <c r="C198" s="683" t="s">
        <v>969</v>
      </c>
      <c r="D198" s="684"/>
      <c r="E198" s="716"/>
      <c r="F198" s="686"/>
      <c r="G198" s="696"/>
      <c r="H198" s="717"/>
      <c r="I198" s="698"/>
      <c r="J198" s="699"/>
      <c r="K198" s="749"/>
      <c r="L198" s="750"/>
      <c r="M198" s="749"/>
      <c r="N198" s="702"/>
      <c r="O198" s="703"/>
      <c r="P198" s="703"/>
      <c r="Q198" s="702"/>
      <c r="R198" s="703"/>
      <c r="S198" s="703"/>
      <c r="T198" s="703"/>
      <c r="U198" s="703"/>
      <c r="V198" s="703"/>
      <c r="W198" s="703"/>
      <c r="X198" s="693"/>
      <c r="Y198" s="693"/>
      <c r="Z198" s="74"/>
      <c r="AA198" s="75"/>
    </row>
    <row r="199" spans="1:27">
      <c r="A199" s="731" t="s">
        <v>970</v>
      </c>
      <c r="B199" s="753" t="s">
        <v>971</v>
      </c>
      <c r="C199" s="732" t="s">
        <v>972</v>
      </c>
      <c r="D199" s="663">
        <v>20000</v>
      </c>
      <c r="E199" s="675">
        <v>15283.33</v>
      </c>
      <c r="F199" s="665">
        <v>20000</v>
      </c>
      <c r="G199" s="666">
        <f>9600+8600</f>
        <v>18200</v>
      </c>
      <c r="H199" s="667">
        <v>13295</v>
      </c>
      <c r="I199" s="676">
        <f>9600+8600</f>
        <v>18200</v>
      </c>
      <c r="J199" s="677">
        <v>18200</v>
      </c>
      <c r="K199" s="678">
        <v>15915.5</v>
      </c>
      <c r="L199" s="679"/>
      <c r="M199" s="678"/>
      <c r="N199" s="705">
        <v>890</v>
      </c>
      <c r="O199" s="680">
        <v>1690</v>
      </c>
      <c r="P199" s="680">
        <v>3690</v>
      </c>
      <c r="Q199" s="705">
        <v>5090</v>
      </c>
      <c r="R199" s="680">
        <v>5980</v>
      </c>
      <c r="S199" s="680">
        <v>6980</v>
      </c>
      <c r="T199" s="680">
        <v>9085</v>
      </c>
      <c r="U199" s="680">
        <v>9355</v>
      </c>
      <c r="V199" s="680">
        <v>10195</v>
      </c>
      <c r="W199" s="680">
        <v>10995</v>
      </c>
      <c r="X199" s="680">
        <v>12235</v>
      </c>
      <c r="Y199" s="680">
        <v>13620</v>
      </c>
    </row>
    <row r="200" spans="1:27">
      <c r="A200" s="731" t="s">
        <v>276</v>
      </c>
      <c r="B200" s="731" t="s">
        <v>275</v>
      </c>
      <c r="C200" s="732" t="s">
        <v>973</v>
      </c>
      <c r="D200" s="663">
        <v>14000</v>
      </c>
      <c r="E200" s="675">
        <v>8591.16</v>
      </c>
      <c r="F200" s="665">
        <v>14000</v>
      </c>
      <c r="G200" s="666">
        <v>15000</v>
      </c>
      <c r="H200" s="667">
        <v>4457.1000000000004</v>
      </c>
      <c r="I200" s="668">
        <v>15000</v>
      </c>
      <c r="J200" s="669">
        <v>10000</v>
      </c>
      <c r="K200" s="678">
        <v>9623.41</v>
      </c>
      <c r="L200" s="679"/>
      <c r="M200" s="678"/>
      <c r="N200" s="705">
        <v>225.7</v>
      </c>
      <c r="O200" s="680">
        <v>225.7</v>
      </c>
      <c r="P200" s="680">
        <v>1748.3</v>
      </c>
      <c r="Q200" s="705">
        <v>2829.36</v>
      </c>
      <c r="R200" s="680">
        <v>3123.56</v>
      </c>
      <c r="S200" s="680">
        <v>3282.14</v>
      </c>
      <c r="T200" s="680">
        <v>4171.87</v>
      </c>
      <c r="U200" s="680">
        <v>4636.57</v>
      </c>
      <c r="V200" s="680">
        <v>4642.57</v>
      </c>
      <c r="W200" s="680">
        <v>4642.57</v>
      </c>
      <c r="X200" s="680">
        <v>5027.92</v>
      </c>
      <c r="Y200" s="680">
        <v>6542.1</v>
      </c>
    </row>
    <row r="201" spans="1:27">
      <c r="A201" s="731" t="s">
        <v>974</v>
      </c>
      <c r="B201" s="753" t="s">
        <v>975</v>
      </c>
      <c r="C201" s="777" t="s">
        <v>976</v>
      </c>
      <c r="D201" s="663">
        <v>45000</v>
      </c>
      <c r="E201" s="675">
        <v>41821.25</v>
      </c>
      <c r="F201" s="665">
        <v>45000</v>
      </c>
      <c r="G201" s="666">
        <f>45600+2000+1100</f>
        <v>48700</v>
      </c>
      <c r="H201" s="667">
        <v>32556.25</v>
      </c>
      <c r="I201" s="668">
        <v>41500</v>
      </c>
      <c r="J201" s="669">
        <v>41500</v>
      </c>
      <c r="K201" s="678">
        <v>36436.25</v>
      </c>
      <c r="L201" s="679"/>
      <c r="M201" s="678"/>
      <c r="N201" s="705">
        <v>0</v>
      </c>
      <c r="O201" s="680">
        <v>0</v>
      </c>
      <c r="P201" s="680">
        <v>0</v>
      </c>
      <c r="Q201" s="705">
        <v>0</v>
      </c>
      <c r="R201" s="680">
        <v>5580</v>
      </c>
      <c r="S201" s="680">
        <v>17742.5</v>
      </c>
      <c r="T201" s="680">
        <v>18617.5</v>
      </c>
      <c r="U201" s="680">
        <v>18617.5</v>
      </c>
      <c r="V201" s="680">
        <v>18617.5</v>
      </c>
      <c r="W201" s="680">
        <v>19552.5</v>
      </c>
      <c r="X201" s="680">
        <v>22357.5</v>
      </c>
      <c r="Y201" s="680">
        <v>39597.5</v>
      </c>
    </row>
    <row r="202" spans="1:27">
      <c r="A202" s="731" t="s">
        <v>300</v>
      </c>
      <c r="B202" s="731" t="s">
        <v>299</v>
      </c>
      <c r="C202" s="732" t="s">
        <v>977</v>
      </c>
      <c r="D202" s="663">
        <v>3000</v>
      </c>
      <c r="E202" s="675">
        <v>1120</v>
      </c>
      <c r="F202" s="665">
        <v>3000</v>
      </c>
      <c r="G202" s="666">
        <v>4200</v>
      </c>
      <c r="H202" s="667">
        <v>1647.92</v>
      </c>
      <c r="I202" s="668">
        <v>3000</v>
      </c>
      <c r="J202" s="669">
        <v>3000</v>
      </c>
      <c r="K202" s="678">
        <v>2757.48</v>
      </c>
      <c r="L202" s="679"/>
      <c r="M202" s="678"/>
      <c r="N202" s="705">
        <v>91.1</v>
      </c>
      <c r="O202" s="680">
        <v>123.1</v>
      </c>
      <c r="P202" s="680">
        <v>745.55</v>
      </c>
      <c r="Q202" s="705">
        <v>1131.48</v>
      </c>
      <c r="R202" s="680">
        <v>1300.6400000000001</v>
      </c>
      <c r="S202" s="680">
        <v>1461.64</v>
      </c>
      <c r="T202" s="680">
        <v>1727.72</v>
      </c>
      <c r="U202" s="680">
        <v>2206.96</v>
      </c>
      <c r="V202" s="680">
        <v>2270.96</v>
      </c>
      <c r="W202" s="680">
        <v>2334.96</v>
      </c>
      <c r="X202" s="680">
        <v>2334.96</v>
      </c>
      <c r="Y202" s="680">
        <v>2824.68</v>
      </c>
    </row>
    <row r="203" spans="1:27">
      <c r="A203" s="731" t="s">
        <v>978</v>
      </c>
      <c r="B203" s="753" t="s">
        <v>979</v>
      </c>
      <c r="C203" s="778" t="s">
        <v>980</v>
      </c>
      <c r="D203" s="663">
        <v>2000</v>
      </c>
      <c r="E203" s="675">
        <v>118.19</v>
      </c>
      <c r="F203" s="665">
        <v>2000</v>
      </c>
      <c r="G203" s="666">
        <v>2000</v>
      </c>
      <c r="H203" s="667">
        <v>148.96</v>
      </c>
      <c r="I203" s="668">
        <v>2450</v>
      </c>
      <c r="J203" s="669">
        <v>2000</v>
      </c>
      <c r="K203" s="678">
        <v>45.9</v>
      </c>
      <c r="L203" s="679"/>
      <c r="M203" s="678"/>
      <c r="N203" s="705">
        <v>0</v>
      </c>
      <c r="O203" s="680">
        <v>0</v>
      </c>
      <c r="P203" s="680">
        <v>0</v>
      </c>
      <c r="Q203" s="705">
        <v>0</v>
      </c>
      <c r="R203" s="680">
        <v>0</v>
      </c>
      <c r="S203" s="680">
        <v>0</v>
      </c>
      <c r="T203" s="680">
        <v>0</v>
      </c>
      <c r="U203" s="680">
        <v>0</v>
      </c>
      <c r="V203" s="680">
        <v>56.5</v>
      </c>
      <c r="W203" s="680">
        <v>56.5</v>
      </c>
      <c r="X203" s="680">
        <v>56.5</v>
      </c>
      <c r="Y203" s="680">
        <v>56.5</v>
      </c>
    </row>
    <row r="204" spans="1:27">
      <c r="A204" s="731" t="s">
        <v>413</v>
      </c>
      <c r="B204" s="731" t="s">
        <v>412</v>
      </c>
      <c r="C204" s="779" t="s">
        <v>981</v>
      </c>
      <c r="D204" s="663">
        <v>4000</v>
      </c>
      <c r="E204" s="675">
        <v>0</v>
      </c>
      <c r="F204" s="665">
        <v>4000</v>
      </c>
      <c r="G204" s="666">
        <v>3000</v>
      </c>
      <c r="H204" s="667">
        <v>0</v>
      </c>
      <c r="I204" s="668">
        <v>500</v>
      </c>
      <c r="J204" s="669">
        <v>500</v>
      </c>
      <c r="K204" s="678">
        <v>0</v>
      </c>
      <c r="L204" s="679"/>
      <c r="M204" s="678"/>
      <c r="N204" s="705">
        <v>0</v>
      </c>
      <c r="O204" s="680">
        <v>0</v>
      </c>
      <c r="P204" s="680">
        <v>0</v>
      </c>
      <c r="Q204" s="705">
        <v>0</v>
      </c>
      <c r="R204" s="680">
        <v>0</v>
      </c>
      <c r="S204" s="680">
        <v>0</v>
      </c>
      <c r="T204" s="680">
        <v>0</v>
      </c>
      <c r="U204" s="680">
        <v>0</v>
      </c>
      <c r="V204" s="680">
        <v>0</v>
      </c>
      <c r="W204" s="680">
        <v>0</v>
      </c>
      <c r="X204" s="680">
        <v>0</v>
      </c>
      <c r="Y204" s="680">
        <v>0</v>
      </c>
    </row>
    <row r="205" spans="1:27">
      <c r="A205" s="731" t="s">
        <v>982</v>
      </c>
      <c r="B205" s="731" t="s">
        <v>400</v>
      </c>
      <c r="C205" s="732" t="s">
        <v>983</v>
      </c>
      <c r="D205" s="663">
        <v>300</v>
      </c>
      <c r="E205" s="675">
        <v>0</v>
      </c>
      <c r="F205" s="665">
        <v>300</v>
      </c>
      <c r="G205" s="666">
        <v>500</v>
      </c>
      <c r="H205" s="667">
        <v>0</v>
      </c>
      <c r="I205" s="668">
        <v>50</v>
      </c>
      <c r="J205" s="669">
        <v>50</v>
      </c>
      <c r="K205" s="678">
        <v>0</v>
      </c>
      <c r="L205" s="679"/>
      <c r="M205" s="678"/>
      <c r="N205" s="705">
        <v>0</v>
      </c>
      <c r="O205" s="680">
        <v>0</v>
      </c>
      <c r="P205" s="680">
        <v>0</v>
      </c>
      <c r="Q205" s="705">
        <v>0</v>
      </c>
      <c r="R205" s="680">
        <v>0</v>
      </c>
      <c r="S205" s="680">
        <v>0</v>
      </c>
      <c r="T205" s="680">
        <v>0</v>
      </c>
      <c r="U205" s="680">
        <v>0</v>
      </c>
      <c r="V205" s="680">
        <v>0</v>
      </c>
      <c r="W205" s="680">
        <v>0</v>
      </c>
      <c r="X205" s="680">
        <v>0</v>
      </c>
      <c r="Y205" s="680">
        <v>0</v>
      </c>
    </row>
    <row r="206" spans="1:27">
      <c r="A206" s="731" t="s">
        <v>984</v>
      </c>
      <c r="B206" s="753" t="s">
        <v>985</v>
      </c>
      <c r="C206" s="732" t="s">
        <v>986</v>
      </c>
      <c r="D206" s="663">
        <v>4000</v>
      </c>
      <c r="E206" s="675">
        <v>2507.77</v>
      </c>
      <c r="F206" s="665">
        <v>4000</v>
      </c>
      <c r="G206" s="666">
        <v>10000</v>
      </c>
      <c r="H206" s="667">
        <v>2413.98</v>
      </c>
      <c r="I206" s="668">
        <v>6000</v>
      </c>
      <c r="J206" s="669">
        <v>3500</v>
      </c>
      <c r="K206" s="678">
        <v>2406.73</v>
      </c>
      <c r="L206" s="679"/>
      <c r="M206" s="678"/>
      <c r="N206" s="705">
        <v>184</v>
      </c>
      <c r="O206" s="680">
        <v>283</v>
      </c>
      <c r="P206" s="680">
        <v>382</v>
      </c>
      <c r="Q206" s="705">
        <v>416.45</v>
      </c>
      <c r="R206" s="680">
        <v>614.45000000000005</v>
      </c>
      <c r="S206" s="680">
        <v>2535.33</v>
      </c>
      <c r="T206" s="680">
        <v>2862.33</v>
      </c>
      <c r="U206" s="680">
        <v>3054.02</v>
      </c>
      <c r="V206" s="680">
        <v>3247.02</v>
      </c>
      <c r="W206" s="680">
        <v>3346.02</v>
      </c>
      <c r="X206" s="680">
        <v>3530.02</v>
      </c>
      <c r="Y206" s="680">
        <v>3629.02</v>
      </c>
    </row>
    <row r="207" spans="1:27">
      <c r="A207" s="731" t="s">
        <v>987</v>
      </c>
      <c r="B207" s="731" t="s">
        <v>464</v>
      </c>
      <c r="C207" s="732" t="s">
        <v>988</v>
      </c>
      <c r="D207" s="663">
        <v>700</v>
      </c>
      <c r="E207" s="675">
        <v>0</v>
      </c>
      <c r="F207" s="665">
        <v>700</v>
      </c>
      <c r="G207" s="666">
        <v>590</v>
      </c>
      <c r="H207" s="667">
        <v>0</v>
      </c>
      <c r="I207" s="668">
        <v>490</v>
      </c>
      <c r="J207" s="669">
        <v>200</v>
      </c>
      <c r="K207" s="678">
        <v>0</v>
      </c>
      <c r="L207" s="679"/>
      <c r="M207" s="678"/>
      <c r="N207" s="705">
        <v>0</v>
      </c>
      <c r="O207" s="680">
        <v>0</v>
      </c>
      <c r="P207" s="680">
        <v>0</v>
      </c>
      <c r="Q207" s="705">
        <v>0</v>
      </c>
      <c r="R207" s="680">
        <v>0</v>
      </c>
      <c r="S207" s="680">
        <v>0</v>
      </c>
      <c r="T207" s="680">
        <v>0</v>
      </c>
      <c r="U207" s="680">
        <v>0</v>
      </c>
      <c r="V207" s="680">
        <v>0</v>
      </c>
      <c r="W207" s="680">
        <v>0</v>
      </c>
      <c r="X207" s="680">
        <v>0</v>
      </c>
      <c r="Y207" s="680">
        <v>0</v>
      </c>
    </row>
    <row r="208" spans="1:27" s="76" customFormat="1">
      <c r="A208" s="682" t="s">
        <v>989</v>
      </c>
      <c r="B208" s="682"/>
      <c r="C208" s="683" t="s">
        <v>990</v>
      </c>
      <c r="D208" s="684"/>
      <c r="E208" s="716"/>
      <c r="F208" s="686"/>
      <c r="G208" s="696"/>
      <c r="H208" s="717"/>
      <c r="I208" s="698"/>
      <c r="J208" s="699"/>
      <c r="K208" s="749"/>
      <c r="L208" s="750"/>
      <c r="M208" s="749"/>
      <c r="N208" s="702"/>
      <c r="O208" s="703"/>
      <c r="P208" s="703"/>
      <c r="Q208" s="702"/>
      <c r="R208" s="703"/>
      <c r="S208" s="703"/>
      <c r="T208" s="703"/>
      <c r="U208" s="703"/>
      <c r="V208" s="703"/>
      <c r="W208" s="703"/>
      <c r="X208" s="693"/>
      <c r="Y208" s="693"/>
      <c r="Z208" s="74"/>
      <c r="AA208" s="75"/>
    </row>
    <row r="209" spans="1:27">
      <c r="A209" s="661" t="s">
        <v>991</v>
      </c>
      <c r="B209" s="780" t="s">
        <v>992</v>
      </c>
      <c r="C209" s="732" t="s">
        <v>993</v>
      </c>
      <c r="D209" s="663">
        <v>11000</v>
      </c>
      <c r="E209" s="675">
        <v>7280</v>
      </c>
      <c r="F209" s="665">
        <v>11000</v>
      </c>
      <c r="G209" s="666">
        <f>9600+5270</f>
        <v>14870</v>
      </c>
      <c r="H209" s="667">
        <v>9070</v>
      </c>
      <c r="I209" s="676">
        <f>9600+5270</f>
        <v>14870</v>
      </c>
      <c r="J209" s="677">
        <v>10600</v>
      </c>
      <c r="K209" s="678">
        <v>9755</v>
      </c>
      <c r="L209" s="679"/>
      <c r="M209" s="678"/>
      <c r="N209" s="705">
        <v>775</v>
      </c>
      <c r="O209" s="680">
        <v>1630</v>
      </c>
      <c r="P209" s="680">
        <v>2435</v>
      </c>
      <c r="Q209" s="705">
        <v>3240</v>
      </c>
      <c r="R209" s="680">
        <v>4015</v>
      </c>
      <c r="S209" s="680">
        <v>4960</v>
      </c>
      <c r="T209" s="680">
        <v>6510</v>
      </c>
      <c r="U209" s="680">
        <v>6510</v>
      </c>
      <c r="V209" s="680">
        <v>7285</v>
      </c>
      <c r="W209" s="680">
        <v>8130</v>
      </c>
      <c r="X209" s="680">
        <v>8905</v>
      </c>
      <c r="Y209" s="680">
        <v>9680</v>
      </c>
    </row>
    <row r="210" spans="1:27">
      <c r="A210" s="661" t="s">
        <v>278</v>
      </c>
      <c r="B210" s="662" t="s">
        <v>277</v>
      </c>
      <c r="C210" s="732" t="s">
        <v>994</v>
      </c>
      <c r="D210" s="663">
        <v>1000</v>
      </c>
      <c r="E210" s="675">
        <v>501.44</v>
      </c>
      <c r="F210" s="665">
        <v>1000</v>
      </c>
      <c r="G210" s="666">
        <v>3570</v>
      </c>
      <c r="H210" s="667">
        <v>995.33</v>
      </c>
      <c r="I210" s="668">
        <v>6000</v>
      </c>
      <c r="J210" s="669">
        <v>500</v>
      </c>
      <c r="K210" s="678">
        <v>130.43</v>
      </c>
      <c r="L210" s="679"/>
      <c r="M210" s="678"/>
      <c r="N210" s="705">
        <v>80.33</v>
      </c>
      <c r="O210" s="680">
        <v>140.33000000000001</v>
      </c>
      <c r="P210" s="680">
        <v>140.33000000000001</v>
      </c>
      <c r="Q210" s="705">
        <v>140.33000000000001</v>
      </c>
      <c r="R210" s="680">
        <v>140.33000000000001</v>
      </c>
      <c r="S210" s="680">
        <v>200.93</v>
      </c>
      <c r="T210" s="680">
        <v>200.93</v>
      </c>
      <c r="U210" s="680">
        <v>200.93</v>
      </c>
      <c r="V210" s="680">
        <v>200.93</v>
      </c>
      <c r="W210" s="680">
        <v>281.26</v>
      </c>
      <c r="X210" s="680">
        <v>281.26</v>
      </c>
      <c r="Y210" s="680">
        <v>281.26</v>
      </c>
    </row>
    <row r="211" spans="1:27">
      <c r="A211" s="661" t="s">
        <v>995</v>
      </c>
      <c r="B211" s="780" t="s">
        <v>996</v>
      </c>
      <c r="C211" s="777" t="s">
        <v>997</v>
      </c>
      <c r="D211" s="663">
        <v>3000</v>
      </c>
      <c r="E211" s="664">
        <v>4544.7</v>
      </c>
      <c r="F211" s="665">
        <v>3000</v>
      </c>
      <c r="G211" s="666">
        <f>8510+2640+100</f>
        <v>11250</v>
      </c>
      <c r="H211" s="667">
        <v>2910</v>
      </c>
      <c r="I211" s="668">
        <v>11250</v>
      </c>
      <c r="J211" s="669">
        <v>3600</v>
      </c>
      <c r="K211" s="678">
        <v>3300</v>
      </c>
      <c r="L211" s="679"/>
      <c r="M211" s="678"/>
      <c r="N211" s="705">
        <v>0</v>
      </c>
      <c r="O211" s="680">
        <v>0</v>
      </c>
      <c r="P211" s="680">
        <v>990</v>
      </c>
      <c r="Q211" s="705">
        <v>990</v>
      </c>
      <c r="R211" s="680">
        <v>990</v>
      </c>
      <c r="S211" s="680">
        <v>990</v>
      </c>
      <c r="T211" s="680">
        <v>990</v>
      </c>
      <c r="U211" s="680">
        <v>990</v>
      </c>
      <c r="V211" s="680">
        <v>990</v>
      </c>
      <c r="W211" s="680">
        <v>990</v>
      </c>
      <c r="X211" s="680">
        <v>990</v>
      </c>
      <c r="Y211" s="680">
        <v>990</v>
      </c>
    </row>
    <row r="212" spans="1:27">
      <c r="A212" s="661" t="s">
        <v>303</v>
      </c>
      <c r="B212" s="662" t="s">
        <v>302</v>
      </c>
      <c r="C212" s="732" t="s">
        <v>998</v>
      </c>
      <c r="D212" s="663">
        <v>500</v>
      </c>
      <c r="E212" s="675">
        <v>302.39999999999998</v>
      </c>
      <c r="F212" s="665">
        <v>500</v>
      </c>
      <c r="G212" s="666">
        <v>2670</v>
      </c>
      <c r="H212" s="667">
        <v>320</v>
      </c>
      <c r="I212" s="668">
        <v>2670</v>
      </c>
      <c r="J212" s="669">
        <v>200</v>
      </c>
      <c r="K212" s="678">
        <v>461.4</v>
      </c>
      <c r="L212" s="679"/>
      <c r="M212" s="678"/>
      <c r="N212" s="705">
        <v>0</v>
      </c>
      <c r="O212" s="680">
        <v>0</v>
      </c>
      <c r="P212" s="680">
        <v>0</v>
      </c>
      <c r="Q212" s="705">
        <v>0</v>
      </c>
      <c r="R212" s="680">
        <v>0</v>
      </c>
      <c r="S212" s="680">
        <v>0</v>
      </c>
      <c r="T212" s="680">
        <v>32</v>
      </c>
      <c r="U212" s="680">
        <v>64</v>
      </c>
      <c r="V212" s="680">
        <v>64</v>
      </c>
      <c r="W212" s="680">
        <v>64</v>
      </c>
      <c r="X212" s="680">
        <v>64</v>
      </c>
      <c r="Y212" s="680">
        <v>170.17</v>
      </c>
    </row>
    <row r="213" spans="1:27">
      <c r="A213" s="661" t="s">
        <v>328</v>
      </c>
      <c r="B213" s="661" t="s">
        <v>327</v>
      </c>
      <c r="C213" s="778" t="s">
        <v>999</v>
      </c>
      <c r="D213" s="663">
        <v>100</v>
      </c>
      <c r="E213" s="675">
        <v>0</v>
      </c>
      <c r="F213" s="665">
        <v>100</v>
      </c>
      <c r="G213" s="666">
        <v>1200</v>
      </c>
      <c r="H213" s="667">
        <v>0</v>
      </c>
      <c r="I213" s="668">
        <v>1200</v>
      </c>
      <c r="J213" s="669">
        <v>100</v>
      </c>
      <c r="K213" s="678">
        <v>0</v>
      </c>
      <c r="L213" s="679"/>
      <c r="M213" s="678"/>
      <c r="N213" s="705">
        <v>0</v>
      </c>
      <c r="O213" s="680">
        <v>0</v>
      </c>
      <c r="P213" s="680">
        <v>0</v>
      </c>
      <c r="Q213" s="705">
        <v>0</v>
      </c>
      <c r="R213" s="680">
        <v>0</v>
      </c>
      <c r="S213" s="680">
        <v>0</v>
      </c>
      <c r="T213" s="680">
        <v>0</v>
      </c>
      <c r="U213" s="680">
        <v>0</v>
      </c>
      <c r="V213" s="680">
        <v>0</v>
      </c>
      <c r="W213" s="680">
        <v>0</v>
      </c>
      <c r="X213" s="680">
        <v>0</v>
      </c>
      <c r="Y213" s="680">
        <v>479.04</v>
      </c>
    </row>
    <row r="214" spans="1:27">
      <c r="A214" s="661" t="s">
        <v>415</v>
      </c>
      <c r="B214" s="661" t="s">
        <v>414</v>
      </c>
      <c r="C214" s="779" t="s">
        <v>1000</v>
      </c>
      <c r="D214" s="663">
        <v>500</v>
      </c>
      <c r="E214" s="675">
        <v>0</v>
      </c>
      <c r="F214" s="665">
        <v>500</v>
      </c>
      <c r="G214" s="666">
        <v>200</v>
      </c>
      <c r="H214" s="667">
        <v>0</v>
      </c>
      <c r="I214" s="668">
        <v>4500</v>
      </c>
      <c r="J214" s="669">
        <v>0</v>
      </c>
      <c r="K214" s="678">
        <v>0</v>
      </c>
      <c r="L214" s="679"/>
      <c r="M214" s="678"/>
      <c r="N214" s="705">
        <v>0</v>
      </c>
      <c r="O214" s="680">
        <v>0</v>
      </c>
      <c r="P214" s="680">
        <v>0</v>
      </c>
      <c r="Q214" s="705">
        <v>0</v>
      </c>
      <c r="R214" s="680">
        <v>0</v>
      </c>
      <c r="S214" s="680">
        <v>0</v>
      </c>
      <c r="T214" s="680">
        <v>0</v>
      </c>
      <c r="U214" s="680">
        <v>0</v>
      </c>
      <c r="V214" s="680">
        <v>0</v>
      </c>
      <c r="W214" s="680">
        <v>0</v>
      </c>
      <c r="X214" s="680">
        <v>0</v>
      </c>
      <c r="Y214" s="680">
        <v>0</v>
      </c>
    </row>
    <row r="215" spans="1:27">
      <c r="A215" s="661" t="s">
        <v>403</v>
      </c>
      <c r="B215" s="662" t="s">
        <v>402</v>
      </c>
      <c r="C215" s="732" t="s">
        <v>1001</v>
      </c>
      <c r="D215" s="663">
        <v>100</v>
      </c>
      <c r="E215" s="675">
        <v>0</v>
      </c>
      <c r="F215" s="665">
        <v>100</v>
      </c>
      <c r="G215" s="666">
        <v>340</v>
      </c>
      <c r="H215" s="667">
        <v>0</v>
      </c>
      <c r="I215" s="668">
        <v>340</v>
      </c>
      <c r="J215" s="669">
        <v>100</v>
      </c>
      <c r="K215" s="678">
        <v>0</v>
      </c>
      <c r="L215" s="679"/>
      <c r="M215" s="678"/>
      <c r="N215" s="705">
        <v>0</v>
      </c>
      <c r="O215" s="680">
        <v>0</v>
      </c>
      <c r="P215" s="680">
        <v>0</v>
      </c>
      <c r="Q215" s="705">
        <v>0</v>
      </c>
      <c r="R215" s="680">
        <v>0</v>
      </c>
      <c r="S215" s="680">
        <v>0</v>
      </c>
      <c r="T215" s="680">
        <v>0</v>
      </c>
      <c r="U215" s="680">
        <v>0</v>
      </c>
      <c r="V215" s="680">
        <v>0</v>
      </c>
      <c r="W215" s="680">
        <v>0</v>
      </c>
      <c r="X215" s="680">
        <v>0</v>
      </c>
      <c r="Y215" s="680">
        <v>0</v>
      </c>
    </row>
    <row r="216" spans="1:27">
      <c r="A216" s="661" t="s">
        <v>1002</v>
      </c>
      <c r="B216" s="780" t="s">
        <v>1003</v>
      </c>
      <c r="C216" s="732" t="s">
        <v>1004</v>
      </c>
      <c r="D216" s="663">
        <v>500</v>
      </c>
      <c r="E216" s="675">
        <v>30</v>
      </c>
      <c r="F216" s="665">
        <v>500</v>
      </c>
      <c r="G216" s="666">
        <v>4500</v>
      </c>
      <c r="H216" s="667">
        <v>240</v>
      </c>
      <c r="I216" s="668">
        <v>3800</v>
      </c>
      <c r="J216" s="669">
        <v>600</v>
      </c>
      <c r="K216" s="678">
        <v>238.21</v>
      </c>
      <c r="L216" s="679"/>
      <c r="M216" s="678"/>
      <c r="N216" s="705">
        <v>0</v>
      </c>
      <c r="O216" s="680">
        <v>72.430000000000007</v>
      </c>
      <c r="P216" s="680">
        <v>72.430000000000007</v>
      </c>
      <c r="Q216" s="705">
        <v>72.430000000000007</v>
      </c>
      <c r="R216" s="680">
        <v>72.430000000000007</v>
      </c>
      <c r="S216" s="680">
        <v>270.62</v>
      </c>
      <c r="T216" s="680">
        <v>270.62</v>
      </c>
      <c r="U216" s="680">
        <v>270.62</v>
      </c>
      <c r="V216" s="680">
        <v>270.62</v>
      </c>
      <c r="W216" s="680">
        <v>270.62</v>
      </c>
      <c r="X216" s="680">
        <v>270.62</v>
      </c>
      <c r="Y216" s="680">
        <v>1791.09</v>
      </c>
    </row>
    <row r="217" spans="1:27">
      <c r="A217" s="661" t="s">
        <v>1005</v>
      </c>
      <c r="B217" s="662" t="s">
        <v>464</v>
      </c>
      <c r="C217" s="732" t="s">
        <v>1006</v>
      </c>
      <c r="D217" s="663">
        <v>200</v>
      </c>
      <c r="E217" s="675">
        <v>0</v>
      </c>
      <c r="F217" s="665">
        <v>200</v>
      </c>
      <c r="G217" s="666">
        <v>590</v>
      </c>
      <c r="H217" s="667">
        <v>0</v>
      </c>
      <c r="I217" s="668">
        <v>490</v>
      </c>
      <c r="J217" s="669">
        <v>200</v>
      </c>
      <c r="K217" s="678">
        <v>0</v>
      </c>
      <c r="L217" s="679"/>
      <c r="M217" s="678"/>
      <c r="N217" s="705">
        <v>0</v>
      </c>
      <c r="O217" s="680">
        <v>0</v>
      </c>
      <c r="P217" s="680">
        <v>0</v>
      </c>
      <c r="Q217" s="705">
        <v>0</v>
      </c>
      <c r="R217" s="680">
        <v>0</v>
      </c>
      <c r="S217" s="680">
        <v>0</v>
      </c>
      <c r="T217" s="680">
        <v>0</v>
      </c>
      <c r="U217" s="680">
        <v>0</v>
      </c>
      <c r="V217" s="680">
        <v>0</v>
      </c>
      <c r="W217" s="680">
        <v>0</v>
      </c>
      <c r="X217" s="680">
        <v>0</v>
      </c>
      <c r="Y217" s="680">
        <v>0</v>
      </c>
    </row>
    <row r="218" spans="1:27" s="76" customFormat="1">
      <c r="A218" s="682" t="s">
        <v>1007</v>
      </c>
      <c r="B218" s="682"/>
      <c r="C218" s="683" t="s">
        <v>1008</v>
      </c>
      <c r="D218" s="684"/>
      <c r="E218" s="716"/>
      <c r="F218" s="686"/>
      <c r="G218" s="696"/>
      <c r="H218" s="717"/>
      <c r="I218" s="698"/>
      <c r="J218" s="699"/>
      <c r="K218" s="749"/>
      <c r="L218" s="750"/>
      <c r="M218" s="749"/>
      <c r="N218" s="702"/>
      <c r="O218" s="703"/>
      <c r="P218" s="703"/>
      <c r="Q218" s="702"/>
      <c r="R218" s="703"/>
      <c r="S218" s="703"/>
      <c r="T218" s="703"/>
      <c r="U218" s="703"/>
      <c r="V218" s="703"/>
      <c r="W218" s="703"/>
      <c r="X218" s="693"/>
      <c r="Y218" s="693"/>
      <c r="Z218" s="74"/>
      <c r="AA218" s="75"/>
    </row>
    <row r="219" spans="1:27">
      <c r="A219" s="661" t="s">
        <v>1009</v>
      </c>
      <c r="B219" s="674" t="s">
        <v>1010</v>
      </c>
      <c r="C219" s="778" t="s">
        <v>1011</v>
      </c>
      <c r="D219" s="663">
        <v>12000</v>
      </c>
      <c r="E219" s="664">
        <v>12610</v>
      </c>
      <c r="F219" s="665">
        <v>12000</v>
      </c>
      <c r="G219" s="666">
        <f>9600+4500</f>
        <v>14100</v>
      </c>
      <c r="H219" s="752">
        <v>12035</v>
      </c>
      <c r="I219" s="676">
        <f>9600+4400</f>
        <v>14000</v>
      </c>
      <c r="J219" s="677">
        <v>10600</v>
      </c>
      <c r="K219" s="670">
        <v>9780</v>
      </c>
      <c r="L219" s="671"/>
      <c r="M219" s="670"/>
      <c r="N219" s="672">
        <v>800</v>
      </c>
      <c r="O219" s="673">
        <v>1600</v>
      </c>
      <c r="P219" s="673">
        <v>2400</v>
      </c>
      <c r="Q219" s="672">
        <v>3200</v>
      </c>
      <c r="R219" s="673">
        <v>4000</v>
      </c>
      <c r="S219" s="673">
        <v>4800</v>
      </c>
      <c r="T219" s="673">
        <v>6400</v>
      </c>
      <c r="U219" s="673">
        <v>6400</v>
      </c>
      <c r="V219" s="673">
        <v>7200</v>
      </c>
      <c r="W219" s="673">
        <v>8000</v>
      </c>
      <c r="X219" s="673">
        <v>8800</v>
      </c>
      <c r="Y219" s="673">
        <v>9600</v>
      </c>
    </row>
    <row r="220" spans="1:27">
      <c r="A220" s="661" t="s">
        <v>280</v>
      </c>
      <c r="B220" s="661" t="s">
        <v>279</v>
      </c>
      <c r="C220" s="778" t="s">
        <v>1012</v>
      </c>
      <c r="D220" s="663">
        <v>1500</v>
      </c>
      <c r="E220" s="751">
        <v>897.76</v>
      </c>
      <c r="F220" s="665">
        <v>1500</v>
      </c>
      <c r="G220" s="666">
        <v>2600</v>
      </c>
      <c r="H220" s="752">
        <v>1081.3800000000001</v>
      </c>
      <c r="I220" s="668">
        <v>6000</v>
      </c>
      <c r="J220" s="669">
        <v>1000</v>
      </c>
      <c r="K220" s="670">
        <v>705.42</v>
      </c>
      <c r="L220" s="671"/>
      <c r="M220" s="670"/>
      <c r="N220" s="672">
        <v>0</v>
      </c>
      <c r="O220" s="673">
        <v>0</v>
      </c>
      <c r="P220" s="673">
        <v>0</v>
      </c>
      <c r="Q220" s="672">
        <v>0</v>
      </c>
      <c r="R220" s="673">
        <v>0</v>
      </c>
      <c r="S220" s="673">
        <v>0</v>
      </c>
      <c r="T220" s="673">
        <v>0</v>
      </c>
      <c r="U220" s="673">
        <v>0</v>
      </c>
      <c r="V220" s="673">
        <v>0</v>
      </c>
      <c r="W220" s="673">
        <v>0</v>
      </c>
      <c r="X220" s="673">
        <v>0</v>
      </c>
      <c r="Y220" s="673">
        <v>0</v>
      </c>
    </row>
    <row r="221" spans="1:27">
      <c r="A221" s="661" t="s">
        <v>1013</v>
      </c>
      <c r="B221" s="674" t="s">
        <v>1014</v>
      </c>
      <c r="C221" s="779" t="s">
        <v>1015</v>
      </c>
      <c r="D221" s="663">
        <v>23000</v>
      </c>
      <c r="E221" s="751">
        <v>22905</v>
      </c>
      <c r="F221" s="665">
        <v>23000</v>
      </c>
      <c r="G221" s="666">
        <f>24540+2000+100</f>
        <v>26640</v>
      </c>
      <c r="H221" s="752">
        <v>105</v>
      </c>
      <c r="I221" s="668">
        <f>23000+2000+500</f>
        <v>25500</v>
      </c>
      <c r="J221" s="669">
        <v>500</v>
      </c>
      <c r="K221" s="670">
        <v>0</v>
      </c>
      <c r="L221" s="671"/>
      <c r="M221" s="670"/>
      <c r="N221" s="672">
        <v>0</v>
      </c>
      <c r="O221" s="673">
        <v>0</v>
      </c>
      <c r="P221" s="673">
        <v>0</v>
      </c>
      <c r="Q221" s="672">
        <v>0</v>
      </c>
      <c r="R221" s="673">
        <v>0</v>
      </c>
      <c r="S221" s="673">
        <v>0</v>
      </c>
      <c r="T221" s="673">
        <v>0</v>
      </c>
      <c r="U221" s="673">
        <v>0</v>
      </c>
      <c r="V221" s="673">
        <v>0</v>
      </c>
      <c r="W221" s="673">
        <v>0</v>
      </c>
      <c r="X221" s="673">
        <v>0</v>
      </c>
      <c r="Y221" s="673">
        <v>0</v>
      </c>
    </row>
    <row r="222" spans="1:27">
      <c r="A222" s="661" t="s">
        <v>306</v>
      </c>
      <c r="B222" s="661" t="s">
        <v>305</v>
      </c>
      <c r="C222" s="778" t="s">
        <v>1016</v>
      </c>
      <c r="D222" s="663">
        <v>500</v>
      </c>
      <c r="E222" s="664">
        <v>551</v>
      </c>
      <c r="F222" s="665">
        <v>500</v>
      </c>
      <c r="G222" s="666">
        <v>1600</v>
      </c>
      <c r="H222" s="752">
        <v>266.97000000000003</v>
      </c>
      <c r="I222" s="668">
        <v>1400</v>
      </c>
      <c r="J222" s="669">
        <v>300</v>
      </c>
      <c r="K222" s="670">
        <v>94</v>
      </c>
      <c r="L222" s="671"/>
      <c r="M222" s="670"/>
      <c r="N222" s="672">
        <v>0</v>
      </c>
      <c r="O222" s="673">
        <v>0</v>
      </c>
      <c r="P222" s="673">
        <v>0</v>
      </c>
      <c r="Q222" s="672">
        <v>0</v>
      </c>
      <c r="R222" s="673">
        <v>0</v>
      </c>
      <c r="S222" s="673">
        <v>0</v>
      </c>
      <c r="T222" s="673">
        <v>0</v>
      </c>
      <c r="U222" s="673">
        <v>0</v>
      </c>
      <c r="V222" s="673">
        <v>0</v>
      </c>
      <c r="W222" s="673">
        <v>0</v>
      </c>
      <c r="X222" s="673">
        <v>0</v>
      </c>
      <c r="Y222" s="673">
        <v>0</v>
      </c>
    </row>
    <row r="223" spans="1:27">
      <c r="A223" s="661" t="s">
        <v>330</v>
      </c>
      <c r="B223" s="661" t="s">
        <v>329</v>
      </c>
      <c r="C223" s="778" t="s">
        <v>1017</v>
      </c>
      <c r="D223" s="663">
        <v>500</v>
      </c>
      <c r="E223" s="751">
        <v>0</v>
      </c>
      <c r="F223" s="665">
        <v>500</v>
      </c>
      <c r="G223" s="666">
        <v>400</v>
      </c>
      <c r="H223" s="752">
        <v>200</v>
      </c>
      <c r="I223" s="668">
        <v>500</v>
      </c>
      <c r="J223" s="669">
        <v>100</v>
      </c>
      <c r="K223" s="670">
        <v>0</v>
      </c>
      <c r="L223" s="671"/>
      <c r="M223" s="670"/>
      <c r="N223" s="672">
        <v>0</v>
      </c>
      <c r="O223" s="673">
        <v>0</v>
      </c>
      <c r="P223" s="673">
        <v>0</v>
      </c>
      <c r="Q223" s="672">
        <v>0</v>
      </c>
      <c r="R223" s="673">
        <v>0</v>
      </c>
      <c r="S223" s="673">
        <v>0</v>
      </c>
      <c r="T223" s="673">
        <v>0</v>
      </c>
      <c r="U223" s="673">
        <v>0</v>
      </c>
      <c r="V223" s="673">
        <v>0</v>
      </c>
      <c r="W223" s="673">
        <v>0</v>
      </c>
      <c r="X223" s="673">
        <v>0</v>
      </c>
      <c r="Y223" s="673">
        <v>0</v>
      </c>
    </row>
    <row r="224" spans="1:27">
      <c r="A224" s="661" t="s">
        <v>417</v>
      </c>
      <c r="B224" s="661" t="s">
        <v>416</v>
      </c>
      <c r="C224" s="779" t="s">
        <v>1018</v>
      </c>
      <c r="D224" s="663">
        <v>2000</v>
      </c>
      <c r="E224" s="751">
        <v>0</v>
      </c>
      <c r="F224" s="665">
        <v>2000</v>
      </c>
      <c r="G224" s="666">
        <v>600</v>
      </c>
      <c r="H224" s="752">
        <v>0</v>
      </c>
      <c r="I224" s="668">
        <v>500</v>
      </c>
      <c r="J224" s="669">
        <v>0</v>
      </c>
      <c r="K224" s="670">
        <v>0</v>
      </c>
      <c r="L224" s="671"/>
      <c r="M224" s="670"/>
      <c r="N224" s="672">
        <v>0</v>
      </c>
      <c r="O224" s="673">
        <v>0</v>
      </c>
      <c r="P224" s="673">
        <v>0</v>
      </c>
      <c r="Q224" s="672">
        <v>0</v>
      </c>
      <c r="R224" s="673">
        <v>0</v>
      </c>
      <c r="S224" s="673">
        <v>0</v>
      </c>
      <c r="T224" s="673">
        <v>0</v>
      </c>
      <c r="U224" s="673">
        <v>0</v>
      </c>
      <c r="V224" s="673">
        <v>0</v>
      </c>
      <c r="W224" s="673">
        <v>0</v>
      </c>
      <c r="X224" s="673">
        <v>0</v>
      </c>
      <c r="Y224" s="673">
        <v>0</v>
      </c>
    </row>
    <row r="225" spans="1:27">
      <c r="A225" s="661" t="s">
        <v>405</v>
      </c>
      <c r="B225" s="661" t="s">
        <v>404</v>
      </c>
      <c r="C225" s="778" t="s">
        <v>1019</v>
      </c>
      <c r="D225" s="663">
        <v>200</v>
      </c>
      <c r="E225" s="751">
        <v>0</v>
      </c>
      <c r="F225" s="665">
        <v>200</v>
      </c>
      <c r="G225" s="666">
        <v>500</v>
      </c>
      <c r="H225" s="752">
        <v>0</v>
      </c>
      <c r="I225" s="668">
        <v>200</v>
      </c>
      <c r="J225" s="669">
        <v>0</v>
      </c>
      <c r="K225" s="670">
        <v>0</v>
      </c>
      <c r="L225" s="671"/>
      <c r="M225" s="670"/>
      <c r="N225" s="672">
        <v>0</v>
      </c>
      <c r="O225" s="673">
        <v>0</v>
      </c>
      <c r="P225" s="673">
        <v>0</v>
      </c>
      <c r="Q225" s="672">
        <v>0</v>
      </c>
      <c r="R225" s="673">
        <v>0</v>
      </c>
      <c r="S225" s="673">
        <v>0</v>
      </c>
      <c r="T225" s="673">
        <v>0</v>
      </c>
      <c r="U225" s="673">
        <v>0</v>
      </c>
      <c r="V225" s="673">
        <v>0</v>
      </c>
      <c r="W225" s="673">
        <v>0</v>
      </c>
      <c r="X225" s="673">
        <v>0</v>
      </c>
      <c r="Y225" s="673">
        <v>0</v>
      </c>
    </row>
    <row r="226" spans="1:27">
      <c r="A226" s="661" t="s">
        <v>1020</v>
      </c>
      <c r="B226" s="674" t="s">
        <v>1021</v>
      </c>
      <c r="C226" s="778" t="s">
        <v>1022</v>
      </c>
      <c r="D226" s="663">
        <v>1000</v>
      </c>
      <c r="E226" s="751">
        <v>30</v>
      </c>
      <c r="F226" s="665">
        <v>1000</v>
      </c>
      <c r="G226" s="666">
        <v>5820</v>
      </c>
      <c r="H226" s="752">
        <v>30</v>
      </c>
      <c r="I226" s="668">
        <v>1000</v>
      </c>
      <c r="J226" s="669">
        <v>100</v>
      </c>
      <c r="K226" s="670">
        <v>0</v>
      </c>
      <c r="L226" s="671"/>
      <c r="M226" s="670"/>
      <c r="N226" s="672">
        <v>0</v>
      </c>
      <c r="O226" s="673">
        <v>0</v>
      </c>
      <c r="P226" s="673">
        <v>0</v>
      </c>
      <c r="Q226" s="672">
        <v>0</v>
      </c>
      <c r="R226" s="673">
        <v>0</v>
      </c>
      <c r="S226" s="673">
        <v>0</v>
      </c>
      <c r="T226" s="673">
        <v>0</v>
      </c>
      <c r="U226" s="673">
        <v>0</v>
      </c>
      <c r="V226" s="673">
        <v>0</v>
      </c>
      <c r="W226" s="673">
        <v>0</v>
      </c>
      <c r="X226" s="673">
        <v>0</v>
      </c>
      <c r="Y226" s="673">
        <v>0</v>
      </c>
    </row>
    <row r="227" spans="1:27">
      <c r="A227" s="661" t="s">
        <v>1023</v>
      </c>
      <c r="B227" s="661" t="s">
        <v>464</v>
      </c>
      <c r="C227" s="778" t="s">
        <v>1024</v>
      </c>
      <c r="D227" s="663">
        <v>500</v>
      </c>
      <c r="E227" s="751">
        <v>0</v>
      </c>
      <c r="F227" s="665">
        <v>500</v>
      </c>
      <c r="G227" s="666">
        <v>590</v>
      </c>
      <c r="H227" s="752">
        <v>0</v>
      </c>
      <c r="I227" s="668">
        <v>490</v>
      </c>
      <c r="J227" s="669">
        <v>200</v>
      </c>
      <c r="K227" s="670">
        <v>0</v>
      </c>
      <c r="L227" s="671"/>
      <c r="M227" s="670"/>
      <c r="N227" s="672">
        <v>0</v>
      </c>
      <c r="O227" s="673">
        <v>0</v>
      </c>
      <c r="P227" s="673">
        <v>0</v>
      </c>
      <c r="Q227" s="672">
        <v>0</v>
      </c>
      <c r="R227" s="673">
        <v>0</v>
      </c>
      <c r="S227" s="673">
        <v>0</v>
      </c>
      <c r="T227" s="673">
        <v>0</v>
      </c>
      <c r="U227" s="673">
        <v>0</v>
      </c>
      <c r="V227" s="673">
        <v>0</v>
      </c>
      <c r="W227" s="673">
        <v>0</v>
      </c>
      <c r="X227" s="673">
        <v>0</v>
      </c>
      <c r="Y227" s="673">
        <v>0</v>
      </c>
    </row>
    <row r="228" spans="1:27" s="76" customFormat="1">
      <c r="A228" s="682" t="s">
        <v>1025</v>
      </c>
      <c r="B228" s="682"/>
      <c r="C228" s="683" t="s">
        <v>1026</v>
      </c>
      <c r="D228" s="684"/>
      <c r="E228" s="716"/>
      <c r="F228" s="686"/>
      <c r="G228" s="696"/>
      <c r="H228" s="717"/>
      <c r="I228" s="698"/>
      <c r="J228" s="699"/>
      <c r="K228" s="749"/>
      <c r="L228" s="750"/>
      <c r="M228" s="749"/>
      <c r="N228" s="702"/>
      <c r="O228" s="704"/>
      <c r="P228" s="704"/>
      <c r="Q228" s="722"/>
      <c r="R228" s="704"/>
      <c r="S228" s="704"/>
      <c r="T228" s="704"/>
      <c r="U228" s="704"/>
      <c r="V228" s="703"/>
      <c r="W228" s="703"/>
      <c r="X228" s="693"/>
      <c r="Y228" s="693"/>
      <c r="Z228" s="74"/>
      <c r="AA228" s="75"/>
    </row>
    <row r="229" spans="1:27">
      <c r="A229" s="661" t="s">
        <v>1027</v>
      </c>
      <c r="B229" s="674" t="s">
        <v>1028</v>
      </c>
      <c r="C229" s="778" t="s">
        <v>1029</v>
      </c>
      <c r="D229" s="663">
        <v>14000</v>
      </c>
      <c r="E229" s="675">
        <v>11870</v>
      </c>
      <c r="F229" s="665">
        <v>14000</v>
      </c>
      <c r="G229" s="666">
        <f>9600+5000</f>
        <v>14600</v>
      </c>
      <c r="H229" s="667">
        <v>12055</v>
      </c>
      <c r="I229" s="676">
        <f>9600+4400</f>
        <v>14000</v>
      </c>
      <c r="J229" s="677">
        <v>14000</v>
      </c>
      <c r="K229" s="678">
        <v>9540</v>
      </c>
      <c r="L229" s="679"/>
      <c r="M229" s="678"/>
      <c r="N229" s="705">
        <v>680</v>
      </c>
      <c r="O229" s="680">
        <v>1440</v>
      </c>
      <c r="P229" s="680">
        <v>2080</v>
      </c>
      <c r="Q229" s="705">
        <v>2875</v>
      </c>
      <c r="R229" s="680">
        <v>3515</v>
      </c>
      <c r="S229" s="680">
        <v>4155</v>
      </c>
      <c r="T229" s="680">
        <v>5635</v>
      </c>
      <c r="U229" s="680">
        <v>5635</v>
      </c>
      <c r="V229" s="680">
        <v>6275</v>
      </c>
      <c r="W229" s="680">
        <v>7185</v>
      </c>
      <c r="X229" s="680">
        <v>7825</v>
      </c>
      <c r="Y229" s="680">
        <v>8465</v>
      </c>
    </row>
    <row r="230" spans="1:27">
      <c r="A230" s="661" t="s">
        <v>282</v>
      </c>
      <c r="B230" s="661" t="s">
        <v>281</v>
      </c>
      <c r="C230" s="778" t="s">
        <v>1030</v>
      </c>
      <c r="D230" s="663">
        <v>8000</v>
      </c>
      <c r="E230" s="675">
        <v>1852.7</v>
      </c>
      <c r="F230" s="665">
        <v>8000</v>
      </c>
      <c r="G230" s="666">
        <v>7800</v>
      </c>
      <c r="H230" s="667">
        <v>2926.88</v>
      </c>
      <c r="I230" s="668">
        <v>12000</v>
      </c>
      <c r="J230" s="669">
        <v>4000</v>
      </c>
      <c r="K230" s="678">
        <v>3131.09</v>
      </c>
      <c r="L230" s="679"/>
      <c r="M230" s="678"/>
      <c r="N230" s="705">
        <v>230</v>
      </c>
      <c r="O230" s="680">
        <v>485.3</v>
      </c>
      <c r="P230" s="680">
        <v>593.75</v>
      </c>
      <c r="Q230" s="705">
        <v>825.9</v>
      </c>
      <c r="R230" s="680">
        <v>825.9</v>
      </c>
      <c r="S230" s="680">
        <v>825.9</v>
      </c>
      <c r="T230" s="680">
        <v>989.3</v>
      </c>
      <c r="U230" s="680">
        <v>989.3</v>
      </c>
      <c r="V230" s="680">
        <v>1111.3</v>
      </c>
      <c r="W230" s="680">
        <v>1382.2</v>
      </c>
      <c r="X230" s="680">
        <v>1382.2</v>
      </c>
      <c r="Y230" s="680">
        <v>1432.56</v>
      </c>
    </row>
    <row r="231" spans="1:27">
      <c r="A231" s="661" t="s">
        <v>1031</v>
      </c>
      <c r="B231" s="674" t="s">
        <v>1032</v>
      </c>
      <c r="C231" s="779" t="s">
        <v>1033</v>
      </c>
      <c r="D231" s="663">
        <v>42000</v>
      </c>
      <c r="E231" s="675">
        <v>25892.880000000001</v>
      </c>
      <c r="F231" s="665">
        <v>42000</v>
      </c>
      <c r="G231" s="666">
        <f>25715+2500+500</f>
        <v>28715</v>
      </c>
      <c r="H231" s="667">
        <v>21264.22</v>
      </c>
      <c r="I231" s="668">
        <v>22000</v>
      </c>
      <c r="J231" s="669">
        <v>22000</v>
      </c>
      <c r="K231" s="678">
        <v>22258.65</v>
      </c>
      <c r="L231" s="679"/>
      <c r="M231" s="678"/>
      <c r="N231" s="705">
        <v>2365</v>
      </c>
      <c r="O231" s="680">
        <v>2365</v>
      </c>
      <c r="P231" s="680">
        <v>3190</v>
      </c>
      <c r="Q231" s="705">
        <v>5830</v>
      </c>
      <c r="R231" s="680">
        <v>5830</v>
      </c>
      <c r="S231" s="680">
        <v>12274.5</v>
      </c>
      <c r="T231" s="680">
        <v>14749.5</v>
      </c>
      <c r="U231" s="680">
        <v>14742.5</v>
      </c>
      <c r="V231" s="680">
        <v>14742.5</v>
      </c>
      <c r="W231" s="680">
        <v>16461.25</v>
      </c>
      <c r="X231" s="680">
        <v>16461.25</v>
      </c>
      <c r="Y231" s="680">
        <v>24768.75</v>
      </c>
    </row>
    <row r="232" spans="1:27">
      <c r="A232" s="661" t="s">
        <v>309</v>
      </c>
      <c r="B232" s="661" t="s">
        <v>308</v>
      </c>
      <c r="C232" s="778" t="s">
        <v>1034</v>
      </c>
      <c r="D232" s="663">
        <v>2000</v>
      </c>
      <c r="E232" s="675">
        <v>144</v>
      </c>
      <c r="F232" s="665">
        <v>2000</v>
      </c>
      <c r="G232" s="666">
        <v>1700</v>
      </c>
      <c r="H232" s="667">
        <v>1335.69</v>
      </c>
      <c r="I232" s="668">
        <v>2500</v>
      </c>
      <c r="J232" s="669">
        <v>2000</v>
      </c>
      <c r="K232" s="678">
        <v>1281.51</v>
      </c>
      <c r="L232" s="679"/>
      <c r="M232" s="678"/>
      <c r="N232" s="705">
        <v>0</v>
      </c>
      <c r="O232" s="680">
        <v>160</v>
      </c>
      <c r="P232" s="680">
        <v>160</v>
      </c>
      <c r="Q232" s="705">
        <v>581.17999999999995</v>
      </c>
      <c r="R232" s="680">
        <v>581.17999999999995</v>
      </c>
      <c r="S232" s="680">
        <v>581.17999999999995</v>
      </c>
      <c r="T232" s="680">
        <v>769.18</v>
      </c>
      <c r="U232" s="680">
        <v>769.18</v>
      </c>
      <c r="V232" s="680">
        <v>769.18</v>
      </c>
      <c r="W232" s="680">
        <v>1045.98</v>
      </c>
      <c r="X232" s="680">
        <v>1045.98</v>
      </c>
      <c r="Y232" s="680">
        <v>1045.98</v>
      </c>
    </row>
    <row r="233" spans="1:27">
      <c r="A233" s="661" t="s">
        <v>332</v>
      </c>
      <c r="B233" s="661" t="s">
        <v>331</v>
      </c>
      <c r="C233" s="778" t="s">
        <v>1035</v>
      </c>
      <c r="D233" s="663">
        <v>500</v>
      </c>
      <c r="E233" s="675">
        <v>24</v>
      </c>
      <c r="F233" s="665">
        <v>500</v>
      </c>
      <c r="G233" s="666">
        <v>500</v>
      </c>
      <c r="H233" s="667">
        <v>0</v>
      </c>
      <c r="I233" s="668">
        <v>500</v>
      </c>
      <c r="J233" s="669">
        <v>100</v>
      </c>
      <c r="K233" s="678">
        <v>32</v>
      </c>
      <c r="L233" s="679"/>
      <c r="M233" s="678"/>
      <c r="N233" s="705">
        <v>32</v>
      </c>
      <c r="O233" s="680">
        <v>32</v>
      </c>
      <c r="P233" s="680">
        <v>32</v>
      </c>
      <c r="Q233" s="705">
        <v>32</v>
      </c>
      <c r="R233" s="680">
        <v>32</v>
      </c>
      <c r="S233" s="680">
        <v>32</v>
      </c>
      <c r="T233" s="680">
        <v>261.5</v>
      </c>
      <c r="U233" s="680">
        <v>261.5</v>
      </c>
      <c r="V233" s="680">
        <v>261.5</v>
      </c>
      <c r="W233" s="680">
        <v>261.5</v>
      </c>
      <c r="X233" s="680">
        <v>261.5</v>
      </c>
      <c r="Y233" s="680">
        <v>261.5</v>
      </c>
    </row>
    <row r="234" spans="1:27">
      <c r="A234" s="661" t="s">
        <v>419</v>
      </c>
      <c r="B234" s="661" t="s">
        <v>418</v>
      </c>
      <c r="C234" s="779" t="s">
        <v>1036</v>
      </c>
      <c r="D234" s="663">
        <v>4000</v>
      </c>
      <c r="E234" s="675">
        <v>0</v>
      </c>
      <c r="F234" s="665">
        <v>4000</v>
      </c>
      <c r="G234" s="666">
        <v>400</v>
      </c>
      <c r="H234" s="667">
        <v>0</v>
      </c>
      <c r="I234" s="668">
        <v>1500</v>
      </c>
      <c r="J234" s="669">
        <v>750</v>
      </c>
      <c r="K234" s="678">
        <v>0</v>
      </c>
      <c r="L234" s="679"/>
      <c r="M234" s="678"/>
      <c r="N234" s="705">
        <v>0</v>
      </c>
      <c r="O234" s="680">
        <v>0</v>
      </c>
      <c r="P234" s="680">
        <v>0</v>
      </c>
      <c r="Q234" s="705">
        <v>0</v>
      </c>
      <c r="R234" s="680">
        <v>0</v>
      </c>
      <c r="S234" s="680">
        <v>0</v>
      </c>
      <c r="T234" s="680">
        <v>0</v>
      </c>
      <c r="U234" s="680">
        <v>0</v>
      </c>
      <c r="V234" s="680">
        <v>0</v>
      </c>
      <c r="W234" s="680">
        <v>0</v>
      </c>
      <c r="X234" s="680">
        <v>0</v>
      </c>
      <c r="Y234" s="680">
        <v>0</v>
      </c>
    </row>
    <row r="235" spans="1:27">
      <c r="A235" s="661" t="s">
        <v>407</v>
      </c>
      <c r="B235" s="661" t="s">
        <v>406</v>
      </c>
      <c r="C235" s="778" t="s">
        <v>1037</v>
      </c>
      <c r="D235" s="663">
        <v>300</v>
      </c>
      <c r="E235" s="675">
        <v>0</v>
      </c>
      <c r="F235" s="665">
        <v>300</v>
      </c>
      <c r="G235" s="666">
        <v>450</v>
      </c>
      <c r="H235" s="667">
        <v>0</v>
      </c>
      <c r="I235" s="668">
        <v>0</v>
      </c>
      <c r="J235" s="669">
        <v>0</v>
      </c>
      <c r="K235" s="678">
        <v>0</v>
      </c>
      <c r="L235" s="679"/>
      <c r="M235" s="678"/>
      <c r="N235" s="705">
        <v>0</v>
      </c>
      <c r="O235" s="680">
        <v>0</v>
      </c>
      <c r="P235" s="680">
        <v>0</v>
      </c>
      <c r="Q235" s="705">
        <v>0</v>
      </c>
      <c r="R235" s="680">
        <v>0</v>
      </c>
      <c r="S235" s="680">
        <v>0</v>
      </c>
      <c r="T235" s="680">
        <v>0</v>
      </c>
      <c r="U235" s="680">
        <v>0</v>
      </c>
      <c r="V235" s="680">
        <v>0</v>
      </c>
      <c r="W235" s="680">
        <v>0</v>
      </c>
      <c r="X235" s="680">
        <v>0</v>
      </c>
      <c r="Y235" s="680">
        <v>0</v>
      </c>
    </row>
    <row r="236" spans="1:27">
      <c r="A236" s="661" t="s">
        <v>1038</v>
      </c>
      <c r="B236" s="674" t="s">
        <v>1039</v>
      </c>
      <c r="C236" s="778" t="s">
        <v>1040</v>
      </c>
      <c r="D236" s="663">
        <v>3000</v>
      </c>
      <c r="E236" s="675">
        <v>2559.1</v>
      </c>
      <c r="F236" s="665">
        <v>3000</v>
      </c>
      <c r="G236" s="666">
        <v>7400</v>
      </c>
      <c r="H236" s="667">
        <v>2143.6</v>
      </c>
      <c r="I236" s="668">
        <v>2000</v>
      </c>
      <c r="J236" s="669">
        <v>2500</v>
      </c>
      <c r="K236" s="678">
        <v>2033.91</v>
      </c>
      <c r="L236" s="679"/>
      <c r="M236" s="678"/>
      <c r="N236" s="705">
        <v>99</v>
      </c>
      <c r="O236" s="680">
        <v>198</v>
      </c>
      <c r="P236" s="680">
        <v>198</v>
      </c>
      <c r="Q236" s="705">
        <v>234.7</v>
      </c>
      <c r="R236" s="680">
        <v>531.70000000000005</v>
      </c>
      <c r="S236" s="680">
        <v>1225.28</v>
      </c>
      <c r="T236" s="680">
        <v>1440.18</v>
      </c>
      <c r="U236" s="680">
        <v>1643.1</v>
      </c>
      <c r="V236" s="680">
        <v>1742.1</v>
      </c>
      <c r="W236" s="680">
        <v>1841.1</v>
      </c>
      <c r="X236" s="680">
        <v>1940.1</v>
      </c>
      <c r="Y236" s="680">
        <v>2056.5</v>
      </c>
    </row>
    <row r="237" spans="1:27">
      <c r="A237" s="661" t="s">
        <v>1041</v>
      </c>
      <c r="B237" s="661" t="s">
        <v>464</v>
      </c>
      <c r="C237" s="778" t="s">
        <v>1042</v>
      </c>
      <c r="D237" s="663">
        <v>1500</v>
      </c>
      <c r="E237" s="675">
        <v>160.65</v>
      </c>
      <c r="F237" s="665">
        <v>1500</v>
      </c>
      <c r="G237" s="666">
        <v>590</v>
      </c>
      <c r="H237" s="667">
        <v>0</v>
      </c>
      <c r="I237" s="668">
        <v>490</v>
      </c>
      <c r="J237" s="669">
        <v>200</v>
      </c>
      <c r="K237" s="678">
        <v>0</v>
      </c>
      <c r="L237" s="679"/>
      <c r="M237" s="678"/>
      <c r="N237" s="705">
        <v>0</v>
      </c>
      <c r="O237" s="680">
        <v>0</v>
      </c>
      <c r="P237" s="680">
        <v>0</v>
      </c>
      <c r="Q237" s="705">
        <v>0</v>
      </c>
      <c r="R237" s="680">
        <v>0</v>
      </c>
      <c r="S237" s="680">
        <v>0</v>
      </c>
      <c r="T237" s="680">
        <v>0</v>
      </c>
      <c r="U237" s="680">
        <v>0</v>
      </c>
      <c r="V237" s="680">
        <v>0</v>
      </c>
      <c r="W237" s="680">
        <v>0</v>
      </c>
      <c r="X237" s="680">
        <v>0</v>
      </c>
      <c r="Y237" s="680">
        <v>0</v>
      </c>
    </row>
    <row r="238" spans="1:27" s="76" customFormat="1">
      <c r="A238" s="682" t="s">
        <v>1043</v>
      </c>
      <c r="B238" s="682"/>
      <c r="C238" s="683" t="s">
        <v>1044</v>
      </c>
      <c r="D238" s="684"/>
      <c r="E238" s="696"/>
      <c r="F238" s="686"/>
      <c r="G238" s="696"/>
      <c r="H238" s="697"/>
      <c r="I238" s="698"/>
      <c r="J238" s="699"/>
      <c r="K238" s="690"/>
      <c r="L238" s="691"/>
      <c r="M238" s="690"/>
      <c r="N238" s="722"/>
      <c r="O238" s="704"/>
      <c r="P238" s="704"/>
      <c r="Q238" s="722"/>
      <c r="R238" s="704"/>
      <c r="S238" s="704"/>
      <c r="T238" s="704"/>
      <c r="U238" s="704"/>
      <c r="V238" s="704"/>
      <c r="W238" s="704"/>
      <c r="X238" s="694"/>
      <c r="Y238" s="694"/>
      <c r="Z238" s="74"/>
      <c r="AA238" s="75"/>
    </row>
    <row r="239" spans="1:27">
      <c r="A239" s="661" t="s">
        <v>1045</v>
      </c>
      <c r="B239" s="674" t="s">
        <v>1046</v>
      </c>
      <c r="C239" s="778" t="s">
        <v>1047</v>
      </c>
      <c r="D239" s="663">
        <v>13000</v>
      </c>
      <c r="E239" s="675">
        <v>9870</v>
      </c>
      <c r="F239" s="665">
        <v>13000</v>
      </c>
      <c r="G239" s="666">
        <f>9600+2300</f>
        <v>11900</v>
      </c>
      <c r="H239" s="667">
        <v>9840</v>
      </c>
      <c r="I239" s="676">
        <f>9600+2400</f>
        <v>12000</v>
      </c>
      <c r="J239" s="677">
        <v>12000</v>
      </c>
      <c r="K239" s="678">
        <v>10605</v>
      </c>
      <c r="L239" s="679"/>
      <c r="M239" s="678"/>
      <c r="N239" s="705">
        <v>800</v>
      </c>
      <c r="O239" s="680">
        <v>1600</v>
      </c>
      <c r="P239" s="680">
        <v>2400</v>
      </c>
      <c r="Q239" s="705">
        <v>3360</v>
      </c>
      <c r="R239" s="680">
        <v>4000</v>
      </c>
      <c r="S239" s="680">
        <v>4640</v>
      </c>
      <c r="T239" s="680">
        <v>5920</v>
      </c>
      <c r="U239" s="680">
        <v>6360</v>
      </c>
      <c r="V239" s="680">
        <v>7000</v>
      </c>
      <c r="W239" s="680">
        <v>7865</v>
      </c>
      <c r="X239" s="680">
        <v>8665</v>
      </c>
      <c r="Y239" s="680">
        <v>9485</v>
      </c>
    </row>
    <row r="240" spans="1:27">
      <c r="A240" s="661" t="s">
        <v>284</v>
      </c>
      <c r="B240" s="661" t="s">
        <v>283</v>
      </c>
      <c r="C240" s="778" t="s">
        <v>1048</v>
      </c>
      <c r="D240" s="663">
        <v>4000</v>
      </c>
      <c r="E240" s="675">
        <v>172.05</v>
      </c>
      <c r="F240" s="665">
        <v>4000</v>
      </c>
      <c r="G240" s="666">
        <v>2000</v>
      </c>
      <c r="H240" s="667">
        <v>180.7</v>
      </c>
      <c r="I240" s="668">
        <v>6000</v>
      </c>
      <c r="J240" s="669">
        <v>1500</v>
      </c>
      <c r="K240" s="678">
        <v>628.63</v>
      </c>
      <c r="L240" s="679"/>
      <c r="M240" s="678"/>
      <c r="N240" s="705">
        <v>0</v>
      </c>
      <c r="O240" s="680">
        <v>0</v>
      </c>
      <c r="P240" s="680">
        <v>0</v>
      </c>
      <c r="Q240" s="705">
        <v>0</v>
      </c>
      <c r="R240" s="680">
        <v>0</v>
      </c>
      <c r="S240" s="680">
        <v>0</v>
      </c>
      <c r="T240" s="680">
        <v>0</v>
      </c>
      <c r="U240" s="680">
        <v>6</v>
      </c>
      <c r="V240" s="680">
        <v>6</v>
      </c>
      <c r="W240" s="680">
        <v>120</v>
      </c>
      <c r="X240" s="680">
        <v>120</v>
      </c>
      <c r="Y240" s="680">
        <v>120</v>
      </c>
    </row>
    <row r="241" spans="1:27">
      <c r="A241" s="661" t="s">
        <v>1049</v>
      </c>
      <c r="B241" s="674" t="s">
        <v>1050</v>
      </c>
      <c r="C241" s="778" t="s">
        <v>1051</v>
      </c>
      <c r="D241" s="663">
        <v>15000</v>
      </c>
      <c r="E241" s="664">
        <v>17613.75</v>
      </c>
      <c r="F241" s="665">
        <v>15000</v>
      </c>
      <c r="G241" s="666">
        <f>17200+1000+200</f>
        <v>18400</v>
      </c>
      <c r="H241" s="667">
        <v>6710</v>
      </c>
      <c r="I241" s="668">
        <v>15000</v>
      </c>
      <c r="J241" s="669">
        <v>5000</v>
      </c>
      <c r="K241" s="678">
        <v>6600</v>
      </c>
      <c r="L241" s="679"/>
      <c r="M241" s="678"/>
      <c r="N241" s="705">
        <v>0</v>
      </c>
      <c r="O241" s="680">
        <v>0</v>
      </c>
      <c r="P241" s="680">
        <v>1320</v>
      </c>
      <c r="Q241" s="705">
        <v>2200</v>
      </c>
      <c r="R241" s="680">
        <v>2200</v>
      </c>
      <c r="S241" s="680">
        <v>3960</v>
      </c>
      <c r="T241" s="680">
        <v>5280</v>
      </c>
      <c r="U241" s="680">
        <v>5280</v>
      </c>
      <c r="V241" s="680">
        <v>5280</v>
      </c>
      <c r="W241" s="680">
        <v>5280</v>
      </c>
      <c r="X241" s="680">
        <v>5280</v>
      </c>
      <c r="Y241" s="680">
        <v>5280</v>
      </c>
    </row>
    <row r="242" spans="1:27">
      <c r="A242" s="661" t="s">
        <v>312</v>
      </c>
      <c r="B242" s="661" t="s">
        <v>311</v>
      </c>
      <c r="C242" s="778" t="s">
        <v>1052</v>
      </c>
      <c r="D242" s="663">
        <v>1000</v>
      </c>
      <c r="E242" s="675">
        <v>0</v>
      </c>
      <c r="F242" s="665">
        <v>1000</v>
      </c>
      <c r="G242" s="666">
        <v>1150</v>
      </c>
      <c r="H242" s="667">
        <v>0</v>
      </c>
      <c r="I242" s="668">
        <v>1500</v>
      </c>
      <c r="J242" s="669">
        <v>500</v>
      </c>
      <c r="K242" s="678">
        <v>324</v>
      </c>
      <c r="L242" s="679"/>
      <c r="M242" s="678"/>
      <c r="N242" s="705">
        <v>0</v>
      </c>
      <c r="O242" s="680">
        <v>0</v>
      </c>
      <c r="P242" s="680">
        <v>0</v>
      </c>
      <c r="Q242" s="705">
        <v>0</v>
      </c>
      <c r="R242" s="680">
        <v>0</v>
      </c>
      <c r="S242" s="680">
        <v>0</v>
      </c>
      <c r="T242" s="680">
        <v>0</v>
      </c>
      <c r="U242" s="680">
        <v>0</v>
      </c>
      <c r="V242" s="680">
        <v>32</v>
      </c>
      <c r="W242" s="680">
        <v>32</v>
      </c>
      <c r="X242" s="680">
        <v>32</v>
      </c>
      <c r="Y242" s="680">
        <v>32</v>
      </c>
    </row>
    <row r="243" spans="1:27">
      <c r="A243" s="661" t="s">
        <v>334</v>
      </c>
      <c r="B243" s="661" t="s">
        <v>333</v>
      </c>
      <c r="C243" s="778" t="s">
        <v>1053</v>
      </c>
      <c r="D243" s="663">
        <v>250</v>
      </c>
      <c r="E243" s="675">
        <v>0</v>
      </c>
      <c r="F243" s="665">
        <v>250</v>
      </c>
      <c r="G243" s="666">
        <v>650</v>
      </c>
      <c r="H243" s="667">
        <v>0</v>
      </c>
      <c r="I243" s="668">
        <v>250</v>
      </c>
      <c r="J243" s="669">
        <v>250</v>
      </c>
      <c r="K243" s="678">
        <v>179.38</v>
      </c>
      <c r="L243" s="679"/>
      <c r="M243" s="678"/>
      <c r="N243" s="705">
        <v>0</v>
      </c>
      <c r="O243" s="680">
        <v>0</v>
      </c>
      <c r="P243" s="680">
        <v>0</v>
      </c>
      <c r="Q243" s="705">
        <v>0</v>
      </c>
      <c r="R243" s="680">
        <v>0</v>
      </c>
      <c r="S243" s="680">
        <v>0</v>
      </c>
      <c r="T243" s="680">
        <v>0</v>
      </c>
      <c r="U243" s="680">
        <v>0</v>
      </c>
      <c r="V243" s="680">
        <v>0</v>
      </c>
      <c r="W243" s="680">
        <v>0</v>
      </c>
      <c r="X243" s="680">
        <v>0</v>
      </c>
      <c r="Y243" s="680">
        <v>0</v>
      </c>
    </row>
    <row r="244" spans="1:27">
      <c r="A244" s="661" t="s">
        <v>421</v>
      </c>
      <c r="B244" s="661" t="s">
        <v>420</v>
      </c>
      <c r="C244" s="779" t="s">
        <v>1054</v>
      </c>
      <c r="D244" s="663">
        <v>1500</v>
      </c>
      <c r="E244" s="675">
        <v>0</v>
      </c>
      <c r="F244" s="665">
        <v>1500</v>
      </c>
      <c r="G244" s="666">
        <v>100</v>
      </c>
      <c r="H244" s="667">
        <v>160</v>
      </c>
      <c r="I244" s="668">
        <v>250</v>
      </c>
      <c r="J244" s="669">
        <v>250</v>
      </c>
      <c r="K244" s="678">
        <v>0</v>
      </c>
      <c r="L244" s="679"/>
      <c r="M244" s="678"/>
      <c r="N244" s="705">
        <v>0</v>
      </c>
      <c r="O244" s="680">
        <v>0</v>
      </c>
      <c r="P244" s="680">
        <v>0</v>
      </c>
      <c r="Q244" s="705">
        <v>0</v>
      </c>
      <c r="R244" s="680">
        <v>0</v>
      </c>
      <c r="S244" s="680">
        <v>0</v>
      </c>
      <c r="T244" s="680">
        <v>0</v>
      </c>
      <c r="U244" s="680">
        <v>0</v>
      </c>
      <c r="V244" s="680">
        <v>0</v>
      </c>
      <c r="W244" s="680">
        <v>0</v>
      </c>
      <c r="X244" s="680">
        <v>0</v>
      </c>
      <c r="Y244" s="680">
        <v>0</v>
      </c>
    </row>
    <row r="245" spans="1:27">
      <c r="A245" s="661" t="s">
        <v>409</v>
      </c>
      <c r="B245" s="661" t="s">
        <v>408</v>
      </c>
      <c r="C245" s="778" t="s">
        <v>1055</v>
      </c>
      <c r="D245" s="663">
        <v>200</v>
      </c>
      <c r="E245" s="675">
        <v>0</v>
      </c>
      <c r="F245" s="665">
        <v>200</v>
      </c>
      <c r="G245" s="666">
        <v>250</v>
      </c>
      <c r="H245" s="667">
        <v>0</v>
      </c>
      <c r="I245" s="668">
        <v>250</v>
      </c>
      <c r="J245" s="669">
        <v>0</v>
      </c>
      <c r="K245" s="678">
        <v>0</v>
      </c>
      <c r="L245" s="679"/>
      <c r="M245" s="678"/>
      <c r="N245" s="705">
        <v>0</v>
      </c>
      <c r="O245" s="680">
        <v>0</v>
      </c>
      <c r="P245" s="680">
        <v>0</v>
      </c>
      <c r="Q245" s="705">
        <v>0</v>
      </c>
      <c r="R245" s="680">
        <v>0</v>
      </c>
      <c r="S245" s="680">
        <v>0</v>
      </c>
      <c r="T245" s="680">
        <v>0</v>
      </c>
      <c r="U245" s="680">
        <v>0</v>
      </c>
      <c r="V245" s="680">
        <v>0</v>
      </c>
      <c r="W245" s="680">
        <v>0</v>
      </c>
      <c r="X245" s="680">
        <v>0</v>
      </c>
      <c r="Y245" s="680">
        <v>0</v>
      </c>
    </row>
    <row r="246" spans="1:27">
      <c r="A246" s="661" t="s">
        <v>1056</v>
      </c>
      <c r="B246" s="674" t="s">
        <v>1057</v>
      </c>
      <c r="C246" s="778" t="s">
        <v>1058</v>
      </c>
      <c r="D246" s="663">
        <v>1500</v>
      </c>
      <c r="E246" s="675">
        <v>149.83000000000001</v>
      </c>
      <c r="F246" s="665">
        <v>1500</v>
      </c>
      <c r="G246" s="666">
        <v>4350</v>
      </c>
      <c r="H246" s="667">
        <v>83.58</v>
      </c>
      <c r="I246" s="668">
        <v>500</v>
      </c>
      <c r="J246" s="669">
        <v>300</v>
      </c>
      <c r="K246" s="678">
        <v>185.43</v>
      </c>
      <c r="L246" s="679"/>
      <c r="M246" s="678"/>
      <c r="N246" s="705">
        <v>0</v>
      </c>
      <c r="O246" s="680">
        <v>0</v>
      </c>
      <c r="P246" s="680">
        <v>0</v>
      </c>
      <c r="Q246" s="705">
        <v>0</v>
      </c>
      <c r="R246" s="680">
        <v>0</v>
      </c>
      <c r="S246" s="680">
        <v>198.19</v>
      </c>
      <c r="T246" s="680">
        <v>198.19</v>
      </c>
      <c r="U246" s="680">
        <v>214.19</v>
      </c>
      <c r="V246" s="680">
        <v>214.19</v>
      </c>
      <c r="W246" s="680">
        <v>214.19</v>
      </c>
      <c r="X246" s="680">
        <v>214.19</v>
      </c>
      <c r="Y246" s="680">
        <v>214.19</v>
      </c>
    </row>
    <row r="247" spans="1:27">
      <c r="A247" s="661" t="s">
        <v>1059</v>
      </c>
      <c r="B247" s="661" t="s">
        <v>464</v>
      </c>
      <c r="C247" s="778" t="s">
        <v>1060</v>
      </c>
      <c r="D247" s="663">
        <v>250</v>
      </c>
      <c r="E247" s="675">
        <v>0</v>
      </c>
      <c r="F247" s="665">
        <v>250</v>
      </c>
      <c r="G247" s="666">
        <v>590</v>
      </c>
      <c r="H247" s="667">
        <v>0</v>
      </c>
      <c r="I247" s="668">
        <v>490</v>
      </c>
      <c r="J247" s="669">
        <v>200</v>
      </c>
      <c r="K247" s="678">
        <v>0</v>
      </c>
      <c r="L247" s="679"/>
      <c r="M247" s="678"/>
      <c r="N247" s="705">
        <v>0</v>
      </c>
      <c r="O247" s="680">
        <v>0</v>
      </c>
      <c r="P247" s="680">
        <v>0</v>
      </c>
      <c r="Q247" s="705">
        <v>0</v>
      </c>
      <c r="R247" s="680">
        <v>0</v>
      </c>
      <c r="S247" s="680">
        <v>0</v>
      </c>
      <c r="T247" s="680">
        <v>0</v>
      </c>
      <c r="U247" s="680">
        <v>0</v>
      </c>
      <c r="V247" s="680">
        <v>0</v>
      </c>
      <c r="W247" s="680">
        <v>0</v>
      </c>
      <c r="X247" s="680">
        <v>0</v>
      </c>
      <c r="Y247" s="680">
        <v>0</v>
      </c>
    </row>
    <row r="248" spans="1:27" s="76" customFormat="1">
      <c r="A248" s="706" t="s">
        <v>1061</v>
      </c>
      <c r="B248" s="706"/>
      <c r="C248" s="707" t="s">
        <v>1062</v>
      </c>
      <c r="D248" s="684"/>
      <c r="E248" s="716"/>
      <c r="F248" s="686"/>
      <c r="G248" s="696"/>
      <c r="H248" s="717"/>
      <c r="I248" s="698"/>
      <c r="J248" s="699"/>
      <c r="K248" s="749"/>
      <c r="L248" s="750"/>
      <c r="M248" s="749"/>
      <c r="N248" s="722"/>
      <c r="O248" s="703"/>
      <c r="P248" s="703"/>
      <c r="Q248" s="702"/>
      <c r="R248" s="703"/>
      <c r="S248" s="703"/>
      <c r="T248" s="703"/>
      <c r="U248" s="703"/>
      <c r="V248" s="703"/>
      <c r="W248" s="703"/>
      <c r="X248" s="693"/>
      <c r="Y248" s="693"/>
      <c r="Z248" s="74"/>
      <c r="AA248" s="75"/>
    </row>
    <row r="249" spans="1:27">
      <c r="A249" s="766" t="s">
        <v>507</v>
      </c>
      <c r="B249" s="766" t="s">
        <v>506</v>
      </c>
      <c r="C249" s="767" t="s">
        <v>508</v>
      </c>
      <c r="D249" s="663">
        <v>60000</v>
      </c>
      <c r="E249" s="751">
        <v>44554.29</v>
      </c>
      <c r="F249" s="665">
        <v>60000</v>
      </c>
      <c r="G249" s="666">
        <v>0</v>
      </c>
      <c r="H249" s="752">
        <v>5783.25</v>
      </c>
      <c r="I249" s="668">
        <v>0</v>
      </c>
      <c r="J249" s="669">
        <v>-1650</v>
      </c>
      <c r="K249" s="670">
        <v>-1650</v>
      </c>
      <c r="L249" s="671"/>
      <c r="M249" s="670"/>
      <c r="N249" s="672">
        <v>0</v>
      </c>
      <c r="O249" s="673">
        <v>0</v>
      </c>
      <c r="P249" s="673">
        <v>0</v>
      </c>
      <c r="Q249" s="672">
        <v>0</v>
      </c>
      <c r="R249" s="673">
        <v>0</v>
      </c>
      <c r="S249" s="673">
        <v>0</v>
      </c>
      <c r="T249" s="673">
        <v>0</v>
      </c>
      <c r="U249" s="673">
        <v>0</v>
      </c>
      <c r="V249" s="673">
        <v>0</v>
      </c>
      <c r="W249" s="673">
        <v>0</v>
      </c>
      <c r="X249" s="673">
        <v>0</v>
      </c>
      <c r="Y249" s="673">
        <v>0</v>
      </c>
    </row>
    <row r="250" spans="1:27">
      <c r="A250" s="766" t="s">
        <v>510</v>
      </c>
      <c r="B250" s="766" t="s">
        <v>509</v>
      </c>
      <c r="C250" s="767" t="s">
        <v>1063</v>
      </c>
      <c r="D250" s="663">
        <v>50000</v>
      </c>
      <c r="E250" s="751">
        <v>45570</v>
      </c>
      <c r="F250" s="665">
        <v>50000</v>
      </c>
      <c r="G250" s="666">
        <v>76000</v>
      </c>
      <c r="H250" s="752">
        <v>10690</v>
      </c>
      <c r="I250" s="668">
        <v>0</v>
      </c>
      <c r="J250" s="669">
        <v>1000</v>
      </c>
      <c r="K250" s="670">
        <v>0</v>
      </c>
      <c r="L250" s="671"/>
      <c r="M250" s="670"/>
      <c r="N250" s="672">
        <v>0</v>
      </c>
      <c r="O250" s="673">
        <v>0</v>
      </c>
      <c r="P250" s="673">
        <v>0</v>
      </c>
      <c r="Q250" s="672">
        <v>0</v>
      </c>
      <c r="R250" s="673">
        <v>0</v>
      </c>
      <c r="S250" s="673">
        <v>0</v>
      </c>
      <c r="T250" s="673">
        <v>0</v>
      </c>
      <c r="U250" s="673">
        <v>0</v>
      </c>
      <c r="V250" s="673">
        <v>0</v>
      </c>
      <c r="W250" s="673">
        <v>0</v>
      </c>
      <c r="X250" s="673">
        <v>0</v>
      </c>
      <c r="Y250" s="673">
        <v>0</v>
      </c>
    </row>
    <row r="251" spans="1:27">
      <c r="A251" s="766" t="s">
        <v>513</v>
      </c>
      <c r="B251" s="766" t="s">
        <v>512</v>
      </c>
      <c r="C251" s="767" t="s">
        <v>1064</v>
      </c>
      <c r="D251" s="663">
        <v>8000</v>
      </c>
      <c r="E251" s="751">
        <v>265.37</v>
      </c>
      <c r="F251" s="665">
        <v>8000</v>
      </c>
      <c r="G251" s="666">
        <v>7000</v>
      </c>
      <c r="H251" s="752">
        <v>1652.83</v>
      </c>
      <c r="I251" s="668">
        <v>7000</v>
      </c>
      <c r="J251" s="669">
        <v>10000</v>
      </c>
      <c r="K251" s="670">
        <v>4869.7700000000004</v>
      </c>
      <c r="L251" s="671"/>
      <c r="M251" s="670"/>
      <c r="N251" s="672">
        <v>1780.66</v>
      </c>
      <c r="O251" s="673">
        <v>2452.84</v>
      </c>
      <c r="P251" s="673">
        <v>3654</v>
      </c>
      <c r="Q251" s="672">
        <v>3892.98</v>
      </c>
      <c r="R251" s="673">
        <v>4022.62</v>
      </c>
      <c r="S251" s="673">
        <v>4119.24</v>
      </c>
      <c r="T251" s="673">
        <v>6528.57</v>
      </c>
      <c r="U251" s="673">
        <v>7001.47</v>
      </c>
      <c r="V251" s="673">
        <v>7110.09</v>
      </c>
      <c r="W251" s="673">
        <v>7110.09</v>
      </c>
      <c r="X251" s="673">
        <v>7294.68</v>
      </c>
      <c r="Y251" s="673">
        <v>7585.41</v>
      </c>
    </row>
    <row r="252" spans="1:27">
      <c r="A252" s="766" t="s">
        <v>1065</v>
      </c>
      <c r="B252" s="781" t="s">
        <v>1066</v>
      </c>
      <c r="C252" s="767" t="s">
        <v>1067</v>
      </c>
      <c r="D252" s="663">
        <v>500</v>
      </c>
      <c r="E252" s="675">
        <v>0</v>
      </c>
      <c r="F252" s="665">
        <v>500</v>
      </c>
      <c r="G252" s="666">
        <v>166</v>
      </c>
      <c r="H252" s="667">
        <v>0</v>
      </c>
      <c r="I252" s="668">
        <v>11000</v>
      </c>
      <c r="J252" s="669">
        <v>500</v>
      </c>
      <c r="K252" s="678">
        <v>0</v>
      </c>
      <c r="L252" s="679"/>
      <c r="M252" s="678"/>
      <c r="N252" s="672">
        <v>0</v>
      </c>
      <c r="O252" s="680">
        <v>0</v>
      </c>
      <c r="P252" s="680">
        <v>0</v>
      </c>
      <c r="Q252" s="705">
        <v>0</v>
      </c>
      <c r="R252" s="680">
        <v>0</v>
      </c>
      <c r="S252" s="680">
        <v>0</v>
      </c>
      <c r="T252" s="680">
        <v>0</v>
      </c>
      <c r="U252" s="680">
        <v>0</v>
      </c>
      <c r="V252" s="680">
        <v>0</v>
      </c>
      <c r="W252" s="680">
        <v>0</v>
      </c>
      <c r="X252" s="680">
        <v>0</v>
      </c>
      <c r="Y252" s="680">
        <v>0</v>
      </c>
      <c r="Z252" s="81"/>
    </row>
    <row r="253" spans="1:27" s="80" customFormat="1">
      <c r="A253" s="706" t="s">
        <v>531</v>
      </c>
      <c r="B253" s="782" t="s">
        <v>1068</v>
      </c>
      <c r="C253" s="707" t="s">
        <v>901</v>
      </c>
      <c r="D253" s="684">
        <v>100000</v>
      </c>
      <c r="E253" s="685">
        <v>100000</v>
      </c>
      <c r="F253" s="686">
        <v>100000</v>
      </c>
      <c r="G253" s="696">
        <v>125000</v>
      </c>
      <c r="H253" s="687">
        <v>125000</v>
      </c>
      <c r="I253" s="698">
        <v>200000</v>
      </c>
      <c r="J253" s="699">
        <v>200000</v>
      </c>
      <c r="K253" s="690">
        <v>200000</v>
      </c>
      <c r="L253" s="691"/>
      <c r="M253" s="690"/>
      <c r="N253" s="757">
        <v>4200</v>
      </c>
      <c r="O253" s="694">
        <v>8400</v>
      </c>
      <c r="P253" s="694">
        <v>12600</v>
      </c>
      <c r="Q253" s="757">
        <v>16800</v>
      </c>
      <c r="R253" s="694">
        <v>21000</v>
      </c>
      <c r="S253" s="694">
        <v>25200</v>
      </c>
      <c r="T253" s="694">
        <v>29400</v>
      </c>
      <c r="U253" s="694">
        <v>33600</v>
      </c>
      <c r="V253" s="694">
        <v>37800</v>
      </c>
      <c r="W253" s="694">
        <v>42000</v>
      </c>
      <c r="X253" s="694">
        <v>46200</v>
      </c>
      <c r="Y253" s="694">
        <v>50000</v>
      </c>
      <c r="Z253" s="79"/>
      <c r="AA253" s="75"/>
    </row>
    <row r="254" spans="1:27">
      <c r="A254" s="773"/>
      <c r="B254" s="650"/>
      <c r="C254" s="649" t="s">
        <v>1069</v>
      </c>
      <c r="D254" s="651">
        <f t="shared" ref="D254:Y254" si="21">SUM(D181:D253)</f>
        <v>491389.02</v>
      </c>
      <c r="E254" s="708">
        <f t="shared" si="21"/>
        <v>386290.48</v>
      </c>
      <c r="F254" s="653">
        <f t="shared" si="21"/>
        <v>491389.02</v>
      </c>
      <c r="G254" s="708">
        <f t="shared" si="21"/>
        <v>519316.25</v>
      </c>
      <c r="H254" s="774">
        <f t="shared" ref="H254" si="22">SUM(H181:H253)</f>
        <v>285298.87</v>
      </c>
      <c r="I254" s="710">
        <f t="shared" si="21"/>
        <v>510534.91000000003</v>
      </c>
      <c r="J254" s="783">
        <f t="shared" ref="J254:K254" si="23">SUM(J181:J253)</f>
        <v>397212.5</v>
      </c>
      <c r="K254" s="711">
        <f t="shared" si="23"/>
        <v>360377.98</v>
      </c>
      <c r="L254" s="713"/>
      <c r="M254" s="712"/>
      <c r="N254" s="714">
        <f t="shared" si="21"/>
        <v>13232.79</v>
      </c>
      <c r="O254" s="714">
        <f t="shared" si="21"/>
        <v>22897.7</v>
      </c>
      <c r="P254" s="715">
        <f t="shared" si="21"/>
        <v>38956.36</v>
      </c>
      <c r="Q254" s="714">
        <f t="shared" si="21"/>
        <v>54001.750000000007</v>
      </c>
      <c r="R254" s="714">
        <f t="shared" si="21"/>
        <v>70202.77</v>
      </c>
      <c r="S254" s="714">
        <f t="shared" si="21"/>
        <v>102588.01000000001</v>
      </c>
      <c r="T254" s="714">
        <f t="shared" si="21"/>
        <v>125179.95000000001</v>
      </c>
      <c r="U254" s="714">
        <f t="shared" ref="U254" si="24">SUM(U181:U253)</f>
        <v>131948.4</v>
      </c>
      <c r="V254" s="714">
        <f t="shared" si="21"/>
        <v>140799.91999999998</v>
      </c>
      <c r="W254" s="714">
        <f t="shared" si="21"/>
        <v>152937.70000000001</v>
      </c>
      <c r="X254" s="714">
        <f t="shared" si="21"/>
        <v>165050.63999999998</v>
      </c>
      <c r="Y254" s="714">
        <f t="shared" si="21"/>
        <v>203484.21</v>
      </c>
    </row>
    <row r="255" spans="1:27">
      <c r="A255" s="661" t="s">
        <v>539</v>
      </c>
      <c r="B255" s="661" t="s">
        <v>541</v>
      </c>
      <c r="C255" s="662" t="s">
        <v>1070</v>
      </c>
      <c r="D255" s="663">
        <v>10000</v>
      </c>
      <c r="E255" s="751">
        <v>950</v>
      </c>
      <c r="F255" s="665">
        <v>10000</v>
      </c>
      <c r="G255" s="675">
        <v>15000</v>
      </c>
      <c r="H255" s="752">
        <v>2500</v>
      </c>
      <c r="I255" s="754">
        <v>5000</v>
      </c>
      <c r="J255" s="681">
        <v>5000</v>
      </c>
      <c r="K255" s="670">
        <v>2000</v>
      </c>
      <c r="L255" s="671"/>
      <c r="M255" s="670"/>
      <c r="N255" s="672">
        <v>2000</v>
      </c>
      <c r="O255" s="673">
        <v>2000</v>
      </c>
      <c r="P255" s="673">
        <v>2000</v>
      </c>
      <c r="Q255" s="672">
        <v>2000</v>
      </c>
      <c r="R255" s="673">
        <v>2900</v>
      </c>
      <c r="S255" s="673">
        <v>3900</v>
      </c>
      <c r="T255" s="673">
        <v>4900</v>
      </c>
      <c r="U255" s="673">
        <v>4900</v>
      </c>
      <c r="V255" s="673">
        <v>4900</v>
      </c>
      <c r="W255" s="673">
        <v>5900</v>
      </c>
      <c r="X255" s="673">
        <v>5900</v>
      </c>
      <c r="Y255" s="673">
        <v>5900</v>
      </c>
    </row>
    <row r="256" spans="1:27">
      <c r="A256" s="661" t="s">
        <v>544</v>
      </c>
      <c r="B256" s="661" t="s">
        <v>543</v>
      </c>
      <c r="C256" s="662" t="s">
        <v>1071</v>
      </c>
      <c r="D256" s="663">
        <v>1500</v>
      </c>
      <c r="E256" s="751">
        <v>0</v>
      </c>
      <c r="F256" s="665">
        <v>1500</v>
      </c>
      <c r="G256" s="675">
        <v>1500</v>
      </c>
      <c r="H256" s="752">
        <v>0</v>
      </c>
      <c r="I256" s="754">
        <v>1000</v>
      </c>
      <c r="J256" s="681">
        <v>0</v>
      </c>
      <c r="K256" s="670">
        <v>0</v>
      </c>
      <c r="L256" s="671"/>
      <c r="M256" s="670"/>
      <c r="N256" s="672">
        <v>0</v>
      </c>
      <c r="O256" s="673">
        <v>0</v>
      </c>
      <c r="P256" s="673">
        <v>0</v>
      </c>
      <c r="Q256" s="672">
        <v>0</v>
      </c>
      <c r="R256" s="673">
        <v>0</v>
      </c>
      <c r="S256" s="673">
        <v>0</v>
      </c>
      <c r="T256" s="673">
        <v>0</v>
      </c>
      <c r="U256" s="673">
        <v>0</v>
      </c>
      <c r="V256" s="673">
        <v>0</v>
      </c>
      <c r="W256" s="673">
        <v>0</v>
      </c>
      <c r="X256" s="673">
        <v>0</v>
      </c>
      <c r="Y256" s="673">
        <v>0</v>
      </c>
    </row>
    <row r="257" spans="1:27">
      <c r="A257" s="773"/>
      <c r="B257" s="650"/>
      <c r="C257" s="649" t="s">
        <v>1072</v>
      </c>
      <c r="D257" s="651">
        <f t="shared" ref="D257:Y257" si="25">SUM(D255:D256)</f>
        <v>11500</v>
      </c>
      <c r="E257" s="708">
        <f t="shared" si="25"/>
        <v>950</v>
      </c>
      <c r="F257" s="653">
        <f t="shared" si="25"/>
        <v>11500</v>
      </c>
      <c r="G257" s="784">
        <f t="shared" si="25"/>
        <v>16500</v>
      </c>
      <c r="H257" s="774">
        <f t="shared" ref="H257" si="26">SUM(H255:H256)</f>
        <v>2500</v>
      </c>
      <c r="I257" s="785">
        <f t="shared" si="25"/>
        <v>6000</v>
      </c>
      <c r="J257" s="786">
        <f t="shared" ref="J257:K257" si="27">SUM(J255:J256)</f>
        <v>5000</v>
      </c>
      <c r="K257" s="711">
        <f t="shared" si="27"/>
        <v>2000</v>
      </c>
      <c r="L257" s="713"/>
      <c r="M257" s="712"/>
      <c r="N257" s="714">
        <f t="shared" si="25"/>
        <v>2000</v>
      </c>
      <c r="O257" s="714">
        <f t="shared" si="25"/>
        <v>2000</v>
      </c>
      <c r="P257" s="715">
        <f t="shared" si="25"/>
        <v>2000</v>
      </c>
      <c r="Q257" s="714">
        <f t="shared" si="25"/>
        <v>2000</v>
      </c>
      <c r="R257" s="714">
        <f t="shared" si="25"/>
        <v>2900</v>
      </c>
      <c r="S257" s="714">
        <f t="shared" si="25"/>
        <v>3900</v>
      </c>
      <c r="T257" s="714">
        <f t="shared" si="25"/>
        <v>4900</v>
      </c>
      <c r="U257" s="714">
        <f t="shared" ref="U257" si="28">SUM(U255:U256)</f>
        <v>4900</v>
      </c>
      <c r="V257" s="714">
        <f t="shared" si="25"/>
        <v>4900</v>
      </c>
      <c r="W257" s="714">
        <f t="shared" si="25"/>
        <v>5900</v>
      </c>
      <c r="X257" s="714">
        <f t="shared" si="25"/>
        <v>5900</v>
      </c>
      <c r="Y257" s="714">
        <f t="shared" si="25"/>
        <v>5900</v>
      </c>
    </row>
    <row r="258" spans="1:27">
      <c r="A258" s="661" t="s">
        <v>551</v>
      </c>
      <c r="B258" s="661" t="s">
        <v>550</v>
      </c>
      <c r="C258" s="662" t="s">
        <v>1073</v>
      </c>
      <c r="D258" s="663">
        <v>0</v>
      </c>
      <c r="E258" s="751">
        <v>0</v>
      </c>
      <c r="F258" s="665">
        <v>0</v>
      </c>
      <c r="G258" s="675">
        <v>0</v>
      </c>
      <c r="H258" s="752">
        <v>0</v>
      </c>
      <c r="I258" s="754">
        <v>0</v>
      </c>
      <c r="J258" s="681">
        <v>0</v>
      </c>
      <c r="K258" s="670">
        <v>0</v>
      </c>
      <c r="L258" s="671"/>
      <c r="M258" s="670"/>
      <c r="N258" s="672">
        <v>0</v>
      </c>
      <c r="O258" s="673">
        <v>0</v>
      </c>
      <c r="P258" s="673">
        <v>0</v>
      </c>
      <c r="Q258" s="672">
        <v>0</v>
      </c>
      <c r="R258" s="673">
        <v>0</v>
      </c>
      <c r="S258" s="673">
        <v>0</v>
      </c>
      <c r="T258" s="673">
        <v>0</v>
      </c>
      <c r="U258" s="673">
        <v>0</v>
      </c>
      <c r="V258" s="673">
        <v>0</v>
      </c>
      <c r="W258" s="673">
        <v>0</v>
      </c>
      <c r="X258" s="673">
        <v>0</v>
      </c>
      <c r="Y258" s="673">
        <v>0</v>
      </c>
    </row>
    <row r="259" spans="1:27">
      <c r="A259" s="661" t="s">
        <v>554</v>
      </c>
      <c r="B259" s="661" t="s">
        <v>553</v>
      </c>
      <c r="C259" s="662" t="s">
        <v>1074</v>
      </c>
      <c r="D259" s="663">
        <v>60000</v>
      </c>
      <c r="E259" s="751">
        <v>60000</v>
      </c>
      <c r="F259" s="665">
        <v>60000</v>
      </c>
      <c r="G259" s="675">
        <v>0</v>
      </c>
      <c r="H259" s="752">
        <v>0</v>
      </c>
      <c r="I259" s="668">
        <v>4611.32</v>
      </c>
      <c r="J259" s="669">
        <v>140000</v>
      </c>
      <c r="K259" s="670">
        <v>140000</v>
      </c>
      <c r="L259" s="671"/>
      <c r="M259" s="670"/>
      <c r="N259" s="672">
        <v>0</v>
      </c>
      <c r="O259" s="673">
        <v>0</v>
      </c>
      <c r="P259" s="673">
        <v>0</v>
      </c>
      <c r="Q259" s="672">
        <v>0</v>
      </c>
      <c r="R259" s="673">
        <v>0</v>
      </c>
      <c r="S259" s="673">
        <v>0</v>
      </c>
      <c r="T259" s="673">
        <v>0</v>
      </c>
      <c r="U259" s="673">
        <v>0</v>
      </c>
      <c r="V259" s="673">
        <v>0</v>
      </c>
      <c r="W259" s="673">
        <v>0</v>
      </c>
      <c r="X259" s="673">
        <v>0</v>
      </c>
      <c r="Y259" s="673">
        <v>0</v>
      </c>
    </row>
    <row r="260" spans="1:27">
      <c r="A260" s="661" t="s">
        <v>1075</v>
      </c>
      <c r="B260" s="661" t="s">
        <v>556</v>
      </c>
      <c r="C260" s="787" t="s">
        <v>1076</v>
      </c>
      <c r="D260" s="663"/>
      <c r="E260" s="751"/>
      <c r="F260" s="665"/>
      <c r="G260" s="675"/>
      <c r="H260" s="769"/>
      <c r="I260" s="668"/>
      <c r="J260" s="788"/>
      <c r="K260" s="770"/>
      <c r="L260" s="671"/>
      <c r="M260" s="670"/>
      <c r="N260" s="789"/>
      <c r="O260" s="789"/>
      <c r="P260" s="673"/>
      <c r="Q260" s="789"/>
      <c r="R260" s="789"/>
      <c r="S260" s="789"/>
      <c r="T260" s="789">
        <v>0</v>
      </c>
      <c r="U260" s="789">
        <v>0</v>
      </c>
      <c r="V260" s="789">
        <v>0</v>
      </c>
      <c r="W260" s="789">
        <v>0</v>
      </c>
      <c r="X260" s="789">
        <v>0</v>
      </c>
      <c r="Y260" s="789">
        <v>0</v>
      </c>
    </row>
    <row r="261" spans="1:27">
      <c r="A261" s="661" t="s">
        <v>557</v>
      </c>
      <c r="B261" s="661"/>
      <c r="C261" s="787" t="s">
        <v>1077</v>
      </c>
      <c r="D261" s="663">
        <v>0</v>
      </c>
      <c r="E261" s="751">
        <v>0</v>
      </c>
      <c r="F261" s="665">
        <v>0</v>
      </c>
      <c r="G261" s="675">
        <v>0</v>
      </c>
      <c r="H261" s="769">
        <v>0</v>
      </c>
      <c r="I261" s="754">
        <v>0</v>
      </c>
      <c r="J261" s="681">
        <v>0</v>
      </c>
      <c r="K261" s="770">
        <v>0</v>
      </c>
      <c r="L261" s="671"/>
      <c r="M261" s="670"/>
      <c r="N261" s="672">
        <v>0</v>
      </c>
      <c r="O261" s="672">
        <v>0</v>
      </c>
      <c r="P261" s="673">
        <v>0</v>
      </c>
      <c r="Q261" s="672">
        <v>0</v>
      </c>
      <c r="R261" s="672">
        <v>0</v>
      </c>
      <c r="S261" s="672">
        <v>0</v>
      </c>
      <c r="T261" s="672">
        <v>0</v>
      </c>
      <c r="U261" s="672">
        <v>0</v>
      </c>
      <c r="V261" s="672">
        <v>0</v>
      </c>
      <c r="W261" s="672">
        <v>0</v>
      </c>
      <c r="X261" s="672">
        <v>0</v>
      </c>
      <c r="Y261" s="672">
        <v>100000</v>
      </c>
    </row>
    <row r="262" spans="1:27">
      <c r="A262" s="773"/>
      <c r="B262" s="650"/>
      <c r="C262" s="649" t="s">
        <v>1078</v>
      </c>
      <c r="D262" s="651">
        <f t="shared" ref="D262" si="29">SUM(D258:D261)</f>
        <v>60000</v>
      </c>
      <c r="E262" s="652">
        <f t="shared" ref="E262" si="30">SUM(E258:E259)</f>
        <v>60000</v>
      </c>
      <c r="F262" s="653">
        <f t="shared" ref="F262:Y262" si="31">SUM(F258:F261)</f>
        <v>60000</v>
      </c>
      <c r="G262" s="652">
        <f t="shared" si="31"/>
        <v>0</v>
      </c>
      <c r="H262" s="654">
        <f>SUM(H258:H261)</f>
        <v>0</v>
      </c>
      <c r="I262" s="655">
        <f t="shared" si="31"/>
        <v>4611.32</v>
      </c>
      <c r="J262" s="656">
        <f t="shared" ref="J262:K262" si="32">SUM(J258:J261)</f>
        <v>140000</v>
      </c>
      <c r="K262" s="656">
        <f t="shared" si="32"/>
        <v>140000</v>
      </c>
      <c r="L262" s="657"/>
      <c r="M262" s="658"/>
      <c r="N262" s="714">
        <f t="shared" si="31"/>
        <v>0</v>
      </c>
      <c r="O262" s="659">
        <f t="shared" si="31"/>
        <v>0</v>
      </c>
      <c r="P262" s="660">
        <f t="shared" si="31"/>
        <v>0</v>
      </c>
      <c r="Q262" s="659">
        <f t="shared" si="31"/>
        <v>0</v>
      </c>
      <c r="R262" s="659">
        <f t="shared" si="31"/>
        <v>0</v>
      </c>
      <c r="S262" s="659">
        <f t="shared" si="31"/>
        <v>0</v>
      </c>
      <c r="T262" s="659">
        <f t="shared" si="31"/>
        <v>0</v>
      </c>
      <c r="U262" s="659">
        <f t="shared" ref="U262" si="33">SUM(U258:U261)</f>
        <v>0</v>
      </c>
      <c r="V262" s="659">
        <f t="shared" si="31"/>
        <v>0</v>
      </c>
      <c r="W262" s="659">
        <f t="shared" si="31"/>
        <v>0</v>
      </c>
      <c r="X262" s="659">
        <f t="shared" si="31"/>
        <v>0</v>
      </c>
      <c r="Y262" s="659">
        <f t="shared" si="31"/>
        <v>100000</v>
      </c>
    </row>
    <row r="263" spans="1:27">
      <c r="A263" s="790"/>
      <c r="B263" s="790"/>
      <c r="C263" s="791"/>
      <c r="D263" s="792"/>
      <c r="E263" s="793"/>
      <c r="F263" s="794"/>
      <c r="G263" s="795"/>
      <c r="H263" s="796"/>
      <c r="I263" s="797"/>
      <c r="J263" s="798"/>
      <c r="K263" s="799"/>
      <c r="L263" s="800"/>
      <c r="M263" s="799"/>
      <c r="N263" s="801"/>
      <c r="O263" s="802"/>
      <c r="P263" s="802"/>
      <c r="Q263" s="801"/>
      <c r="R263" s="802"/>
      <c r="S263" s="802"/>
      <c r="T263" s="802"/>
      <c r="U263" s="802"/>
      <c r="V263" s="802"/>
      <c r="W263" s="802"/>
      <c r="X263" s="802"/>
      <c r="Y263" s="802"/>
    </row>
    <row r="264" spans="1:27">
      <c r="A264" s="773"/>
      <c r="B264" s="650"/>
      <c r="C264" s="649" t="s">
        <v>1079</v>
      </c>
      <c r="D264" s="803">
        <f t="shared" ref="D264:Y264" si="34">D55+D180+D254+D257+D262</f>
        <v>1479844.02</v>
      </c>
      <c r="E264" s="804">
        <f t="shared" si="34"/>
        <v>1215421.75</v>
      </c>
      <c r="F264" s="653">
        <f t="shared" si="34"/>
        <v>1479844.02</v>
      </c>
      <c r="G264" s="805">
        <f t="shared" si="34"/>
        <v>1568977.2800000003</v>
      </c>
      <c r="H264" s="806">
        <f t="shared" si="34"/>
        <v>744412.76</v>
      </c>
      <c r="I264" s="807">
        <f t="shared" si="34"/>
        <v>1582227.32</v>
      </c>
      <c r="J264" s="808">
        <f t="shared" ref="J264:K264" si="35">J55+J180+J254+J257+J262</f>
        <v>1142738.58</v>
      </c>
      <c r="K264" s="809">
        <f t="shared" si="35"/>
        <v>1016679.65</v>
      </c>
      <c r="L264" s="810"/>
      <c r="M264" s="811"/>
      <c r="N264" s="714">
        <f t="shared" si="34"/>
        <v>61382.61</v>
      </c>
      <c r="O264" s="714">
        <f t="shared" si="34"/>
        <v>126447.21999999999</v>
      </c>
      <c r="P264" s="715">
        <f t="shared" si="34"/>
        <v>189222.3</v>
      </c>
      <c r="Q264" s="714">
        <f t="shared" si="34"/>
        <v>243412.77</v>
      </c>
      <c r="R264" s="714">
        <f t="shared" si="34"/>
        <v>301975.23</v>
      </c>
      <c r="S264" s="714">
        <f t="shared" si="34"/>
        <v>383730.05</v>
      </c>
      <c r="T264" s="714">
        <f t="shared" si="34"/>
        <v>474680.11000000004</v>
      </c>
      <c r="U264" s="714">
        <f t="shared" ref="U264" si="36">U55+U180+U254+U257+U262</f>
        <v>495881.78</v>
      </c>
      <c r="V264" s="812">
        <f t="shared" si="34"/>
        <v>544846.67999999993</v>
      </c>
      <c r="W264" s="813">
        <f t="shared" si="34"/>
        <v>602008.47</v>
      </c>
      <c r="X264" s="813">
        <f t="shared" si="34"/>
        <v>660188.20000000007</v>
      </c>
      <c r="Y264" s="813">
        <f t="shared" si="34"/>
        <v>848745.34000000008</v>
      </c>
    </row>
    <row r="265" spans="1:27">
      <c r="A265" s="553"/>
      <c r="B265" s="633"/>
      <c r="C265" s="814" t="s">
        <v>684</v>
      </c>
      <c r="D265" s="815">
        <f t="shared" ref="D265:Y265" si="37">D30</f>
        <v>1480000</v>
      </c>
      <c r="E265" s="816">
        <f t="shared" si="37"/>
        <v>1500919.53</v>
      </c>
      <c r="F265" s="817">
        <f t="shared" si="37"/>
        <v>1480000</v>
      </c>
      <c r="G265" s="818">
        <f t="shared" si="37"/>
        <v>1568977.28</v>
      </c>
      <c r="H265" s="819">
        <f t="shared" si="37"/>
        <v>1433893.83</v>
      </c>
      <c r="I265" s="820">
        <f t="shared" ref="I265:K265" si="38">I30</f>
        <v>1582227.3199999998</v>
      </c>
      <c r="J265" s="821">
        <f t="shared" si="38"/>
        <v>1837652.25</v>
      </c>
      <c r="K265" s="822">
        <f t="shared" si="38"/>
        <v>1824464.7899999998</v>
      </c>
      <c r="L265" s="823"/>
      <c r="M265" s="824"/>
      <c r="N265" s="639">
        <f t="shared" si="37"/>
        <v>966479.29999999993</v>
      </c>
      <c r="O265" s="825">
        <f>O30</f>
        <v>1275195.3899999999</v>
      </c>
      <c r="P265" s="826">
        <f t="shared" si="37"/>
        <v>1329008.1000000001</v>
      </c>
      <c r="Q265" s="639">
        <f t="shared" si="37"/>
        <v>1349175.9000000001</v>
      </c>
      <c r="R265" s="639">
        <f t="shared" si="37"/>
        <v>1375385.3</v>
      </c>
      <c r="S265" s="639">
        <f t="shared" si="37"/>
        <v>1383159.2899999998</v>
      </c>
      <c r="T265" s="825">
        <f t="shared" si="37"/>
        <v>1388602.04</v>
      </c>
      <c r="U265" s="825">
        <f t="shared" ref="U265" si="39">U30</f>
        <v>1388657.04</v>
      </c>
      <c r="V265" s="825">
        <f t="shared" si="37"/>
        <v>1391578.14</v>
      </c>
      <c r="W265" s="827">
        <f t="shared" si="37"/>
        <v>1414691.58</v>
      </c>
      <c r="X265" s="827">
        <f t="shared" si="37"/>
        <v>1428143.66</v>
      </c>
      <c r="Y265" s="827">
        <f t="shared" si="37"/>
        <v>1431391.26</v>
      </c>
    </row>
    <row r="266" spans="1:27">
      <c r="A266" s="790"/>
      <c r="B266" s="790"/>
      <c r="C266" s="791"/>
      <c r="D266" s="792"/>
      <c r="E266" s="793"/>
      <c r="F266" s="794"/>
      <c r="G266" s="793"/>
      <c r="H266" s="796"/>
      <c r="I266" s="828"/>
      <c r="J266" s="829"/>
      <c r="K266" s="799"/>
      <c r="L266" s="800"/>
      <c r="M266" s="799"/>
      <c r="N266" s="801"/>
      <c r="O266" s="802"/>
      <c r="P266" s="802"/>
      <c r="Q266" s="801"/>
      <c r="R266" s="802"/>
      <c r="S266" s="802"/>
      <c r="T266" s="802"/>
      <c r="U266" s="802"/>
      <c r="V266" s="802"/>
      <c r="W266" s="802"/>
      <c r="X266" s="802"/>
      <c r="Y266" s="802"/>
    </row>
    <row r="267" spans="1:27" s="82" customFormat="1" ht="15" thickBot="1">
      <c r="A267" s="830"/>
      <c r="B267" s="831"/>
      <c r="C267" s="832" t="s">
        <v>1080</v>
      </c>
      <c r="D267" s="833">
        <f t="shared" ref="D267:I267" si="40">D265-D264</f>
        <v>155.97999999998137</v>
      </c>
      <c r="E267" s="290">
        <f t="shared" si="40"/>
        <v>285497.78000000003</v>
      </c>
      <c r="F267" s="291">
        <f t="shared" si="40"/>
        <v>155.97999999998137</v>
      </c>
      <c r="G267" s="290">
        <f t="shared" si="40"/>
        <v>0</v>
      </c>
      <c r="H267" s="334">
        <f t="shared" si="40"/>
        <v>689481.07000000007</v>
      </c>
      <c r="I267" s="338">
        <f t="shared" si="40"/>
        <v>0</v>
      </c>
      <c r="J267" s="282">
        <f t="shared" ref="J267:K267" si="41">J265-J264</f>
        <v>694913.66999999993</v>
      </c>
      <c r="K267" s="339">
        <f t="shared" si="41"/>
        <v>807785.13999999978</v>
      </c>
      <c r="L267" s="343"/>
      <c r="M267" s="339"/>
      <c r="N267" s="834">
        <f t="shared" ref="N267:Y267" si="42">N265-N264</f>
        <v>905096.69</v>
      </c>
      <c r="O267" s="835">
        <f t="shared" si="42"/>
        <v>1148748.17</v>
      </c>
      <c r="P267" s="835">
        <f t="shared" si="42"/>
        <v>1139785.8</v>
      </c>
      <c r="Q267" s="836">
        <f t="shared" si="42"/>
        <v>1105763.1300000001</v>
      </c>
      <c r="R267" s="835">
        <f t="shared" si="42"/>
        <v>1073410.07</v>
      </c>
      <c r="S267" s="835">
        <f t="shared" si="42"/>
        <v>999429.23999999976</v>
      </c>
      <c r="T267" s="835">
        <f>T265-T264</f>
        <v>913921.92999999993</v>
      </c>
      <c r="U267" s="835">
        <f>U265-U264</f>
        <v>892775.26</v>
      </c>
      <c r="V267" s="835">
        <f t="shared" si="42"/>
        <v>846731.46</v>
      </c>
      <c r="W267" s="835">
        <f t="shared" si="42"/>
        <v>812683.1100000001</v>
      </c>
      <c r="X267" s="835">
        <f t="shared" si="42"/>
        <v>767955.45999999985</v>
      </c>
      <c r="Y267" s="835">
        <f t="shared" si="42"/>
        <v>582645.91999999993</v>
      </c>
      <c r="Z267" s="64"/>
      <c r="AA267" s="75"/>
    </row>
    <row r="268" spans="1:27" ht="15" thickTop="1">
      <c r="D268" s="83"/>
      <c r="E268" s="84"/>
      <c r="F268" s="83"/>
      <c r="G268" s="101"/>
      <c r="H268" s="84"/>
      <c r="I268" s="101"/>
      <c r="J268" s="101"/>
      <c r="K268" s="84"/>
      <c r="L268" s="84"/>
      <c r="M268" s="84"/>
      <c r="N268" s="84"/>
      <c r="O268" s="84"/>
      <c r="P268" s="84"/>
      <c r="Q268" s="84"/>
      <c r="R268" s="84"/>
      <c r="S268" s="84"/>
      <c r="T268" s="84"/>
      <c r="U268" s="84"/>
      <c r="V268" s="84"/>
      <c r="W268" s="84"/>
      <c r="X268" s="84"/>
      <c r="Y268" s="84"/>
    </row>
    <row r="269" spans="1:27">
      <c r="D269" s="85" t="s">
        <v>1081</v>
      </c>
      <c r="E269" s="115" t="s">
        <v>1082</v>
      </c>
      <c r="F269" s="85" t="s">
        <v>1081</v>
      </c>
    </row>
    <row r="270" spans="1:27">
      <c r="C270" s="86" t="s">
        <v>561</v>
      </c>
      <c r="D270" s="83"/>
      <c r="E270" s="84"/>
      <c r="F270" s="83"/>
      <c r="G270" s="101"/>
      <c r="H270" s="84"/>
      <c r="I270" s="101"/>
      <c r="J270" s="101"/>
      <c r="K270" s="84"/>
      <c r="L270" s="84"/>
      <c r="M270" s="84"/>
      <c r="N270" s="84"/>
      <c r="O270" s="84"/>
      <c r="P270" s="84"/>
      <c r="Q270" s="84"/>
      <c r="R270" s="84"/>
      <c r="S270" s="84"/>
      <c r="T270" s="84"/>
      <c r="U270" s="84"/>
      <c r="V270" s="84"/>
      <c r="W270" s="84"/>
      <c r="X270" s="84"/>
      <c r="Y270" s="84"/>
    </row>
    <row r="271" spans="1:27">
      <c r="C271" s="87" t="s">
        <v>564</v>
      </c>
      <c r="D271" s="88">
        <f>D283</f>
        <v>180155.97999999998</v>
      </c>
      <c r="E271" s="91">
        <v>465497.78</v>
      </c>
      <c r="F271" s="88">
        <f>F283</f>
        <v>180155.97999999998</v>
      </c>
      <c r="G271" s="96"/>
      <c r="H271" s="91">
        <v>869481.07</v>
      </c>
      <c r="I271" s="96"/>
      <c r="J271" s="96">
        <v>1014913.67</v>
      </c>
      <c r="K271" s="91">
        <v>1127785.1399999999</v>
      </c>
      <c r="L271" s="91"/>
      <c r="M271" s="91"/>
      <c r="N271" s="91">
        <v>1225096.69</v>
      </c>
      <c r="O271" s="89">
        <v>1468748.17</v>
      </c>
      <c r="P271" s="90">
        <v>1459785.8</v>
      </c>
      <c r="Q271" s="90">
        <v>1425763.13</v>
      </c>
      <c r="R271" s="90">
        <v>1393410.07</v>
      </c>
      <c r="S271" s="90">
        <v>1319429.24</v>
      </c>
      <c r="T271" s="90">
        <v>1233921.93</v>
      </c>
      <c r="U271" s="90">
        <v>1212775.26</v>
      </c>
      <c r="V271" s="91">
        <v>1166731.46</v>
      </c>
      <c r="W271" s="91">
        <v>1132683.1100000001</v>
      </c>
      <c r="X271" s="91">
        <v>1087955.46</v>
      </c>
      <c r="Y271" s="91">
        <v>1002645.92</v>
      </c>
    </row>
    <row r="272" spans="1:27">
      <c r="C272" s="87" t="s">
        <v>565</v>
      </c>
      <c r="D272" s="88">
        <v>0</v>
      </c>
      <c r="E272" s="91">
        <v>0</v>
      </c>
      <c r="F272" s="88">
        <v>0</v>
      </c>
      <c r="G272" s="96"/>
      <c r="H272" s="91">
        <v>0</v>
      </c>
      <c r="I272" s="96"/>
      <c r="J272" s="96">
        <v>0</v>
      </c>
      <c r="K272" s="91">
        <v>0</v>
      </c>
      <c r="L272" s="91"/>
      <c r="M272" s="91"/>
      <c r="N272" s="91">
        <v>0</v>
      </c>
      <c r="O272" s="90">
        <v>0</v>
      </c>
      <c r="P272" s="90">
        <v>0</v>
      </c>
      <c r="Q272" s="90">
        <v>0</v>
      </c>
      <c r="R272" s="90">
        <v>0</v>
      </c>
      <c r="S272" s="90">
        <v>0</v>
      </c>
      <c r="T272" s="90">
        <v>0</v>
      </c>
      <c r="U272" s="90">
        <v>0</v>
      </c>
      <c r="V272" s="91">
        <v>0</v>
      </c>
      <c r="W272" s="91">
        <v>0</v>
      </c>
      <c r="X272" s="91">
        <v>0</v>
      </c>
      <c r="Y272" s="91">
        <v>0</v>
      </c>
    </row>
    <row r="273" spans="3:27">
      <c r="C273" s="87" t="s">
        <v>566</v>
      </c>
      <c r="D273" s="88">
        <v>0</v>
      </c>
      <c r="E273" s="91">
        <v>0</v>
      </c>
      <c r="F273" s="88">
        <v>0</v>
      </c>
      <c r="G273" s="96"/>
      <c r="H273" s="91">
        <v>0</v>
      </c>
      <c r="I273" s="96"/>
      <c r="J273" s="96">
        <v>0</v>
      </c>
      <c r="K273" s="91">
        <v>0</v>
      </c>
      <c r="L273" s="91"/>
      <c r="M273" s="91"/>
      <c r="N273" s="91">
        <v>0</v>
      </c>
      <c r="O273" s="90">
        <v>0</v>
      </c>
      <c r="P273" s="90">
        <v>0</v>
      </c>
      <c r="Q273" s="90">
        <v>0</v>
      </c>
      <c r="R273" s="90">
        <v>0</v>
      </c>
      <c r="S273" s="90">
        <v>0</v>
      </c>
      <c r="T273" s="90">
        <v>0</v>
      </c>
      <c r="U273" s="90">
        <v>0</v>
      </c>
      <c r="V273" s="91">
        <v>0</v>
      </c>
      <c r="W273" s="91">
        <v>0</v>
      </c>
      <c r="X273" s="91">
        <v>0</v>
      </c>
      <c r="Y273" s="91">
        <v>0</v>
      </c>
    </row>
    <row r="274" spans="3:27">
      <c r="C274" s="92"/>
      <c r="D274" s="88"/>
      <c r="E274" s="91">
        <v>0</v>
      </c>
      <c r="F274" s="88"/>
      <c r="G274" s="96"/>
      <c r="H274" s="91">
        <v>0</v>
      </c>
      <c r="I274" s="96"/>
      <c r="J274" s="96"/>
      <c r="K274" s="91"/>
      <c r="L274" s="91"/>
      <c r="M274" s="91"/>
      <c r="N274" s="91"/>
      <c r="O274" s="90"/>
      <c r="P274" s="90"/>
      <c r="Q274" s="90"/>
      <c r="R274" s="90"/>
      <c r="S274" s="90"/>
      <c r="T274" s="90"/>
      <c r="U274" s="90"/>
      <c r="V274" s="91"/>
      <c r="W274" s="91"/>
      <c r="X274" s="91"/>
      <c r="Y274" s="91"/>
    </row>
    <row r="275" spans="3:27">
      <c r="C275" s="86" t="s">
        <v>567</v>
      </c>
      <c r="D275" s="94">
        <f>SUM(D271:D274)</f>
        <v>180155.97999999998</v>
      </c>
      <c r="E275" s="96">
        <f t="shared" ref="E275" si="43">SUM(E271:E274)</f>
        <v>465497.78</v>
      </c>
      <c r="F275" s="94">
        <f>SUM(F271:F274)</f>
        <v>180155.97999999998</v>
      </c>
      <c r="G275" s="96"/>
      <c r="H275" s="96">
        <f t="shared" ref="H275" si="44">SUM(H271:H274)</f>
        <v>869481.07</v>
      </c>
      <c r="I275" s="96"/>
      <c r="J275" s="96">
        <f>SUM(J271:J274)</f>
        <v>1014913.67</v>
      </c>
      <c r="K275" s="96">
        <f t="shared" ref="K275" si="45">SUM(K271:K274)</f>
        <v>1127785.1399999999</v>
      </c>
      <c r="L275" s="96"/>
      <c r="M275" s="96"/>
      <c r="N275" s="96">
        <f t="shared" ref="N275" si="46">SUM(N271:N274)</f>
        <v>1225096.69</v>
      </c>
      <c r="O275" s="95">
        <f t="shared" ref="O275:T275" si="47">SUM(O271:O273)</f>
        <v>1468748.17</v>
      </c>
      <c r="P275" s="96">
        <f t="shared" si="47"/>
        <v>1459785.8</v>
      </c>
      <c r="Q275" s="96">
        <f t="shared" si="47"/>
        <v>1425763.13</v>
      </c>
      <c r="R275" s="95">
        <f t="shared" si="47"/>
        <v>1393410.07</v>
      </c>
      <c r="S275" s="96">
        <f t="shared" si="47"/>
        <v>1319429.24</v>
      </c>
      <c r="T275" s="96">
        <f t="shared" si="47"/>
        <v>1233921.93</v>
      </c>
      <c r="U275" s="96">
        <f t="shared" ref="U275" si="48">SUM(U271:U273)</f>
        <v>1212775.26</v>
      </c>
      <c r="V275" s="96">
        <f t="shared" ref="V275:Y275" si="49">SUM(V271:V274)</f>
        <v>1166731.46</v>
      </c>
      <c r="W275" s="96">
        <f t="shared" si="49"/>
        <v>1132683.1100000001</v>
      </c>
      <c r="X275" s="96">
        <f t="shared" si="49"/>
        <v>1087955.46</v>
      </c>
      <c r="Y275" s="96">
        <f t="shared" si="49"/>
        <v>1002645.92</v>
      </c>
    </row>
    <row r="276" spans="3:27">
      <c r="D276" s="93"/>
      <c r="E276" s="91"/>
      <c r="F276" s="93"/>
      <c r="G276" s="96"/>
      <c r="H276" s="91"/>
      <c r="I276" s="96"/>
      <c r="J276" s="96"/>
      <c r="K276" s="91"/>
      <c r="L276" s="91"/>
      <c r="M276" s="91"/>
      <c r="N276" s="91"/>
      <c r="O276" s="90"/>
      <c r="P276" s="90"/>
      <c r="Q276" s="90"/>
      <c r="R276" s="90"/>
      <c r="S276" s="90"/>
      <c r="T276" s="90"/>
      <c r="U276" s="90"/>
      <c r="V276" s="91"/>
      <c r="W276" s="91"/>
      <c r="X276" s="91"/>
      <c r="Y276" s="91"/>
    </row>
    <row r="277" spans="3:27">
      <c r="C277" s="86" t="s">
        <v>568</v>
      </c>
      <c r="D277" s="93"/>
      <c r="E277" s="91"/>
      <c r="F277" s="93"/>
      <c r="G277" s="182"/>
      <c r="H277" s="91"/>
      <c r="I277" s="182"/>
      <c r="J277" s="182"/>
      <c r="K277" s="91"/>
      <c r="L277" s="91"/>
      <c r="M277" s="91"/>
      <c r="N277" s="91"/>
      <c r="O277" s="97"/>
      <c r="P277" s="97"/>
      <c r="Q277" s="97"/>
      <c r="R277" s="97"/>
      <c r="S277" s="97"/>
      <c r="T277" s="97"/>
      <c r="U277" s="97"/>
      <c r="V277" s="91"/>
      <c r="W277" s="91"/>
      <c r="X277" s="91"/>
      <c r="Y277" s="91"/>
    </row>
    <row r="278" spans="3:27">
      <c r="C278" s="87" t="s">
        <v>569</v>
      </c>
      <c r="D278" s="94">
        <f>D$267</f>
        <v>155.97999999998137</v>
      </c>
      <c r="E278" s="96">
        <f t="shared" ref="E278" si="50">E267</f>
        <v>285497.78000000003</v>
      </c>
      <c r="F278" s="94">
        <f>F$267</f>
        <v>155.97999999998137</v>
      </c>
      <c r="G278" s="96"/>
      <c r="H278" s="96">
        <f t="shared" ref="H278" si="51">H267</f>
        <v>689481.07000000007</v>
      </c>
      <c r="I278" s="96"/>
      <c r="J278" s="96">
        <v>694913.67</v>
      </c>
      <c r="K278" s="96">
        <f t="shared" ref="K278" si="52">K267</f>
        <v>807785.13999999978</v>
      </c>
      <c r="L278" s="96"/>
      <c r="M278" s="96"/>
      <c r="N278" s="96">
        <f t="shared" ref="N278" si="53">N267</f>
        <v>905096.69</v>
      </c>
      <c r="O278" s="96">
        <f>O267</f>
        <v>1148748.17</v>
      </c>
      <c r="P278" s="96">
        <f t="shared" ref="P278" si="54">P267</f>
        <v>1139785.8</v>
      </c>
      <c r="Q278" s="96">
        <f>Q267</f>
        <v>1105763.1300000001</v>
      </c>
      <c r="R278" s="96">
        <f t="shared" ref="R278:W278" si="55">R267</f>
        <v>1073410.07</v>
      </c>
      <c r="S278" s="96">
        <f t="shared" si="55"/>
        <v>999429.23999999976</v>
      </c>
      <c r="T278" s="96">
        <f t="shared" si="55"/>
        <v>913921.92999999993</v>
      </c>
      <c r="U278" s="96">
        <f t="shared" ref="U278" si="56">U267</f>
        <v>892775.26</v>
      </c>
      <c r="V278" s="96">
        <f t="shared" si="55"/>
        <v>846731.46</v>
      </c>
      <c r="W278" s="96">
        <f t="shared" si="55"/>
        <v>812683.1100000001</v>
      </c>
      <c r="X278" s="96">
        <f>X267</f>
        <v>767955.45999999985</v>
      </c>
      <c r="Y278" s="96">
        <f t="shared" ref="Y278" si="57">Y267</f>
        <v>582645.91999999993</v>
      </c>
    </row>
    <row r="279" spans="3:27">
      <c r="C279" s="87" t="s">
        <v>1083</v>
      </c>
      <c r="D279" s="94">
        <v>115000</v>
      </c>
      <c r="E279" s="90">
        <v>115000</v>
      </c>
      <c r="F279" s="94">
        <v>115000</v>
      </c>
      <c r="G279" s="96"/>
      <c r="H279" s="90">
        <v>115000</v>
      </c>
      <c r="I279" s="96"/>
      <c r="J279" s="90">
        <v>120000</v>
      </c>
      <c r="K279" s="90">
        <v>115000</v>
      </c>
      <c r="L279" s="90"/>
      <c r="M279" s="90"/>
      <c r="N279" s="90">
        <v>115000</v>
      </c>
      <c r="O279" s="90">
        <v>115000</v>
      </c>
      <c r="P279" s="90">
        <v>115000</v>
      </c>
      <c r="Q279" s="90">
        <v>115000</v>
      </c>
      <c r="R279" s="90">
        <v>115000</v>
      </c>
      <c r="S279" s="90">
        <v>115000</v>
      </c>
      <c r="T279" s="90">
        <v>115000</v>
      </c>
      <c r="U279" s="90">
        <v>115000</v>
      </c>
      <c r="V279" s="90">
        <v>115000</v>
      </c>
      <c r="W279" s="90">
        <v>115000</v>
      </c>
      <c r="X279" s="90">
        <v>115000</v>
      </c>
      <c r="Y279" s="90">
        <v>120000</v>
      </c>
    </row>
    <row r="280" spans="3:27">
      <c r="C280" s="377" t="s">
        <v>571</v>
      </c>
      <c r="D280" s="94">
        <v>5000</v>
      </c>
      <c r="E280" s="90">
        <v>5000</v>
      </c>
      <c r="F280" s="94">
        <v>5000</v>
      </c>
      <c r="G280" s="96"/>
      <c r="H280" s="90">
        <v>5000</v>
      </c>
      <c r="I280" s="96"/>
      <c r="J280" s="90">
        <v>0</v>
      </c>
      <c r="K280" s="90">
        <v>5000</v>
      </c>
      <c r="L280" s="90"/>
      <c r="M280" s="90"/>
      <c r="N280" s="90">
        <v>5000</v>
      </c>
      <c r="O280" s="90">
        <v>5000</v>
      </c>
      <c r="P280" s="90">
        <v>5000</v>
      </c>
      <c r="Q280" s="90">
        <v>5000</v>
      </c>
      <c r="R280" s="90">
        <v>5000</v>
      </c>
      <c r="S280" s="90">
        <v>5000</v>
      </c>
      <c r="T280" s="90">
        <v>5000</v>
      </c>
      <c r="U280" s="90">
        <v>5000</v>
      </c>
      <c r="V280" s="90">
        <v>5000</v>
      </c>
      <c r="W280" s="90">
        <v>5000</v>
      </c>
      <c r="X280" s="90">
        <v>5000</v>
      </c>
      <c r="Y280" s="90">
        <v>0</v>
      </c>
    </row>
    <row r="281" spans="3:27">
      <c r="C281" s="377" t="s">
        <v>1084</v>
      </c>
      <c r="D281" s="94">
        <v>60000</v>
      </c>
      <c r="E281" s="90">
        <v>60000</v>
      </c>
      <c r="F281" s="94">
        <v>60000</v>
      </c>
      <c r="G281" s="96"/>
      <c r="H281" s="90">
        <v>60000</v>
      </c>
      <c r="I281" s="96"/>
      <c r="J281" s="90">
        <v>0</v>
      </c>
      <c r="K281" s="90">
        <v>200000</v>
      </c>
      <c r="L281" s="90"/>
      <c r="M281" s="90"/>
      <c r="N281" s="90">
        <v>200000</v>
      </c>
      <c r="O281" s="90">
        <v>200000</v>
      </c>
      <c r="P281" s="90">
        <v>200000</v>
      </c>
      <c r="Q281" s="90">
        <v>200000</v>
      </c>
      <c r="R281" s="90">
        <v>200000</v>
      </c>
      <c r="S281" s="90">
        <v>200000</v>
      </c>
      <c r="T281" s="90">
        <v>200000</v>
      </c>
      <c r="U281" s="90">
        <v>200000</v>
      </c>
      <c r="V281" s="90">
        <v>200000</v>
      </c>
      <c r="W281" s="90">
        <v>200000</v>
      </c>
      <c r="X281" s="90">
        <v>200000</v>
      </c>
      <c r="Y281" s="90">
        <v>200000</v>
      </c>
    </row>
    <row r="282" spans="3:27">
      <c r="C282" s="377" t="s">
        <v>1085</v>
      </c>
      <c r="D282" s="94"/>
      <c r="E282" s="90"/>
      <c r="F282" s="94"/>
      <c r="G282" s="96"/>
      <c r="H282" s="90"/>
      <c r="I282" s="96"/>
      <c r="J282" s="90">
        <v>200000</v>
      </c>
      <c r="K282" s="96">
        <v>0</v>
      </c>
      <c r="L282" s="96"/>
      <c r="M282" s="96"/>
      <c r="N282" s="90"/>
      <c r="O282" s="90"/>
      <c r="P282" s="90"/>
      <c r="Q282" s="90"/>
      <c r="R282" s="90"/>
      <c r="S282" s="90"/>
      <c r="T282" s="90">
        <v>0</v>
      </c>
      <c r="U282" s="90">
        <v>0</v>
      </c>
      <c r="V282" s="90">
        <v>0</v>
      </c>
      <c r="W282" s="90">
        <v>0</v>
      </c>
      <c r="X282" s="90">
        <v>0</v>
      </c>
      <c r="Y282" s="90">
        <v>100000</v>
      </c>
    </row>
    <row r="283" spans="3:27">
      <c r="C283" s="86" t="s">
        <v>574</v>
      </c>
      <c r="D283" s="94">
        <f>SUM(D$278:D$281)</f>
        <v>180155.97999999998</v>
      </c>
      <c r="E283" s="96">
        <f t="shared" ref="E283" si="58">SUM(E278:E281)</f>
        <v>465497.78</v>
      </c>
      <c r="F283" s="94">
        <f>SUM(F$278:F$281)</f>
        <v>180155.97999999998</v>
      </c>
      <c r="G283" s="96"/>
      <c r="H283" s="96">
        <f t="shared" ref="H283" si="59">SUM(H278:H281)</f>
        <v>869481.07000000007</v>
      </c>
      <c r="I283" s="96"/>
      <c r="J283" s="96">
        <f>SUM(J278:J282)</f>
        <v>1014913.67</v>
      </c>
      <c r="K283" s="340">
        <f>SUM(K278:K282)</f>
        <v>1127785.1399999997</v>
      </c>
      <c r="L283" s="340"/>
      <c r="M283" s="340"/>
      <c r="N283" s="96">
        <f t="shared" ref="N283" si="60">SUM(N278:N281)</f>
        <v>1225096.69</v>
      </c>
      <c r="O283" s="96">
        <f t="shared" ref="O283:S283" si="61">SUM(O278:O281)</f>
        <v>1468748.17</v>
      </c>
      <c r="P283" s="96">
        <f t="shared" si="61"/>
        <v>1459785.8</v>
      </c>
      <c r="Q283" s="96">
        <f t="shared" si="61"/>
        <v>1425763.1300000001</v>
      </c>
      <c r="R283" s="96">
        <f t="shared" si="61"/>
        <v>1393410.07</v>
      </c>
      <c r="S283" s="96">
        <f t="shared" si="61"/>
        <v>1319429.2399999998</v>
      </c>
      <c r="T283" s="96">
        <f t="shared" ref="T283:Y283" si="62">SUM(T278:T282)</f>
        <v>1233921.93</v>
      </c>
      <c r="U283" s="96">
        <f t="shared" si="62"/>
        <v>1212775.26</v>
      </c>
      <c r="V283" s="96">
        <f t="shared" si="62"/>
        <v>1166731.46</v>
      </c>
      <c r="W283" s="96">
        <f t="shared" si="62"/>
        <v>1132683.1100000001</v>
      </c>
      <c r="X283" s="96">
        <f t="shared" si="62"/>
        <v>1087955.46</v>
      </c>
      <c r="Y283" s="96">
        <f t="shared" si="62"/>
        <v>1002645.9199999999</v>
      </c>
    </row>
    <row r="284" spans="3:27">
      <c r="D284" s="94"/>
      <c r="E284" s="98"/>
      <c r="F284" s="94"/>
      <c r="G284" s="101"/>
      <c r="H284" s="98"/>
      <c r="I284" s="101"/>
      <c r="J284" s="101"/>
      <c r="K284" s="98"/>
      <c r="L284" s="98"/>
      <c r="M284" s="98"/>
      <c r="N284" s="84"/>
      <c r="O284" s="84"/>
      <c r="P284" s="84"/>
      <c r="Q284" s="84"/>
      <c r="R284" s="84"/>
      <c r="S284" s="84"/>
      <c r="T284" s="84"/>
      <c r="U284" s="84"/>
      <c r="V284" s="98"/>
      <c r="W284" s="98"/>
      <c r="X284" s="98"/>
      <c r="Y284" s="98"/>
    </row>
    <row r="285" spans="3:27">
      <c r="C285" s="86"/>
      <c r="D285" s="99"/>
      <c r="E285" s="98"/>
      <c r="F285" s="99"/>
      <c r="H285" s="98"/>
      <c r="K285" s="101"/>
      <c r="L285" s="101"/>
      <c r="M285" s="101"/>
      <c r="O285" s="84"/>
      <c r="V285" s="98"/>
      <c r="W285" s="98"/>
      <c r="X285" s="98"/>
      <c r="Y285" s="98"/>
    </row>
    <row r="286" spans="3:27" s="76" customFormat="1">
      <c r="C286" s="86" t="s">
        <v>576</v>
      </c>
      <c r="D286" s="100" t="s">
        <v>1086</v>
      </c>
      <c r="E286" s="101"/>
      <c r="F286" s="100" t="s">
        <v>1086</v>
      </c>
      <c r="G286" s="101"/>
      <c r="H286" s="101"/>
      <c r="I286" s="101"/>
      <c r="J286" s="101"/>
      <c r="K286" s="98"/>
      <c r="L286" s="98"/>
      <c r="M286" s="98"/>
      <c r="N286" s="101"/>
      <c r="O286" s="101"/>
      <c r="P286" s="101"/>
      <c r="Q286" s="101"/>
      <c r="R286" s="101"/>
      <c r="S286" s="101"/>
      <c r="T286" s="101"/>
      <c r="U286" s="101"/>
      <c r="V286" s="101"/>
      <c r="W286" s="101"/>
      <c r="X286" s="101"/>
      <c r="Y286" s="101"/>
      <c r="Z286" s="74"/>
      <c r="AA286" s="65"/>
    </row>
    <row r="287" spans="3:27">
      <c r="C287" s="102"/>
      <c r="D287" s="94"/>
      <c r="E287" s="98"/>
      <c r="F287" s="94"/>
      <c r="G287" s="101"/>
      <c r="H287" s="98"/>
      <c r="I287" s="101"/>
      <c r="J287" s="101"/>
      <c r="K287" s="101"/>
      <c r="L287" s="101"/>
      <c r="M287" s="101"/>
      <c r="N287" s="84"/>
      <c r="O287" s="84"/>
      <c r="P287" s="84"/>
      <c r="Q287" s="84"/>
      <c r="R287" s="84"/>
      <c r="S287" s="84"/>
      <c r="T287" s="84"/>
      <c r="U287" s="84"/>
      <c r="V287" s="98"/>
      <c r="W287" s="98"/>
      <c r="X287" s="98"/>
      <c r="Y287" s="98"/>
    </row>
    <row r="288" spans="3:27" s="76" customFormat="1">
      <c r="C288" s="103" t="s">
        <v>561</v>
      </c>
      <c r="D288" s="104">
        <f>D275</f>
        <v>180155.97999999998</v>
      </c>
      <c r="E288" s="101"/>
      <c r="F288" s="104">
        <f>F275</f>
        <v>180155.97999999998</v>
      </c>
      <c r="G288" s="101"/>
      <c r="H288" s="101"/>
      <c r="I288" s="101"/>
      <c r="J288" s="101"/>
      <c r="K288" s="98"/>
      <c r="L288" s="98"/>
      <c r="M288" s="98"/>
      <c r="N288" s="101"/>
      <c r="O288" s="101"/>
      <c r="P288" s="101"/>
      <c r="Q288" s="101"/>
      <c r="R288" s="101"/>
      <c r="S288" s="101"/>
      <c r="T288" s="101"/>
      <c r="U288" s="101"/>
      <c r="V288" s="101"/>
      <c r="W288" s="101"/>
      <c r="X288" s="101"/>
      <c r="Y288" s="101"/>
      <c r="Z288" s="74"/>
      <c r="AA288" s="65"/>
    </row>
    <row r="289" spans="3:27" s="76" customFormat="1">
      <c r="C289" s="105" t="s">
        <v>1087</v>
      </c>
      <c r="D289" s="94"/>
      <c r="E289" s="98"/>
      <c r="F289" s="94"/>
      <c r="G289" s="101"/>
      <c r="H289" s="98"/>
      <c r="I289" s="101"/>
      <c r="J289" s="101"/>
      <c r="K289" s="101"/>
      <c r="L289" s="101"/>
      <c r="M289" s="101"/>
      <c r="N289" s="84"/>
      <c r="O289" s="84"/>
      <c r="P289" s="84"/>
      <c r="Q289" s="84"/>
      <c r="R289" s="84"/>
      <c r="S289" s="84"/>
      <c r="T289" s="84"/>
      <c r="U289" s="84"/>
      <c r="V289" s="98"/>
      <c r="W289" s="98"/>
      <c r="X289" s="98"/>
      <c r="Y289" s="98"/>
      <c r="Z289" s="74"/>
      <c r="AA289" s="65"/>
    </row>
    <row r="290" spans="3:27" s="76" customFormat="1">
      <c r="C290" s="103" t="s">
        <v>1088</v>
      </c>
      <c r="D290" s="94">
        <f>D24*0.05</f>
        <v>28000</v>
      </c>
      <c r="E290" s="101"/>
      <c r="F290" s="94">
        <f>F24*0.05</f>
        <v>28000</v>
      </c>
      <c r="G290" s="101"/>
      <c r="H290" s="101"/>
      <c r="I290" s="101"/>
      <c r="J290" s="101"/>
      <c r="K290" s="22"/>
      <c r="L290" s="22"/>
      <c r="M290" s="22"/>
      <c r="N290" s="101"/>
      <c r="O290" s="101"/>
      <c r="P290" s="101"/>
      <c r="Q290" s="101"/>
      <c r="R290" s="101"/>
      <c r="S290" s="106"/>
      <c r="T290" s="101"/>
      <c r="U290" s="101"/>
      <c r="V290" s="101"/>
      <c r="W290" s="101"/>
      <c r="X290" s="101"/>
      <c r="Y290" s="101"/>
      <c r="Z290" s="74"/>
      <c r="AA290" s="65"/>
    </row>
    <row r="291" spans="3:27">
      <c r="C291" s="107" t="s">
        <v>1089</v>
      </c>
      <c r="D291" s="108">
        <f>D288-D290</f>
        <v>152155.97999999998</v>
      </c>
      <c r="F291" s="108">
        <f>F288-F290</f>
        <v>152155.97999999998</v>
      </c>
    </row>
    <row r="292" spans="3:27">
      <c r="D292" s="99"/>
      <c r="F292" s="99"/>
    </row>
    <row r="293" spans="3:27">
      <c r="C293" s="109" t="s">
        <v>1090</v>
      </c>
      <c r="D293" s="94">
        <f>D24*0.18</f>
        <v>100800</v>
      </c>
      <c r="F293" s="94">
        <f>F24*0.18</f>
        <v>100800</v>
      </c>
    </row>
    <row r="294" spans="3:27">
      <c r="C294" s="102"/>
    </row>
    <row r="295" spans="3:27">
      <c r="C295" s="111" t="s">
        <v>1091</v>
      </c>
      <c r="D295" s="112">
        <f>D291-D293</f>
        <v>51355.979999999981</v>
      </c>
      <c r="F295" s="112">
        <f>F291-F293</f>
        <v>51355.979999999981</v>
      </c>
    </row>
  </sheetData>
  <pageMargins left="0.7" right="0.7" top="0.78740157499999996" bottom="0.78740157499999996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D06927-A275-47C9-BBCB-9F86388720D2}">
  <dimension ref="A2:G31"/>
  <sheetViews>
    <sheetView workbookViewId="0">
      <selection activeCell="F3" sqref="F3"/>
    </sheetView>
  </sheetViews>
  <sheetFormatPr defaultColWidth="11.42578125" defaultRowHeight="14.45"/>
  <sheetData>
    <row r="2" spans="1:7">
      <c r="A2" t="s">
        <v>1092</v>
      </c>
    </row>
    <row r="4" spans="1:7">
      <c r="A4" t="s">
        <v>1093</v>
      </c>
      <c r="B4" t="s">
        <v>1094</v>
      </c>
      <c r="C4" t="s">
        <v>1095</v>
      </c>
      <c r="F4" t="s">
        <v>152</v>
      </c>
      <c r="G4">
        <v>-30</v>
      </c>
    </row>
    <row r="5" spans="1:7">
      <c r="F5" t="s">
        <v>1027</v>
      </c>
      <c r="G5">
        <v>-290</v>
      </c>
    </row>
    <row r="6" spans="1:7">
      <c r="F6" t="s">
        <v>282</v>
      </c>
      <c r="G6">
        <v>-625.54999999999995</v>
      </c>
    </row>
    <row r="8" spans="1:7">
      <c r="C8" t="s">
        <v>1096</v>
      </c>
      <c r="F8" t="s">
        <v>150</v>
      </c>
      <c r="G8">
        <v>320</v>
      </c>
    </row>
    <row r="9" spans="1:7">
      <c r="C9" t="s">
        <v>1097</v>
      </c>
      <c r="F9" t="s">
        <v>819</v>
      </c>
      <c r="G9">
        <v>625.54999999999995</v>
      </c>
    </row>
    <row r="13" spans="1:7">
      <c r="A13" t="s">
        <v>1093</v>
      </c>
      <c r="B13" t="s">
        <v>1098</v>
      </c>
      <c r="C13" t="s">
        <v>1095</v>
      </c>
      <c r="F13" t="s">
        <v>1027</v>
      </c>
      <c r="G13">
        <v>-80</v>
      </c>
    </row>
    <row r="14" spans="1:7">
      <c r="F14" t="s">
        <v>282</v>
      </c>
      <c r="G14">
        <v>-236.3</v>
      </c>
    </row>
    <row r="16" spans="1:7">
      <c r="F16" t="s">
        <v>819</v>
      </c>
      <c r="G16">
        <v>236.3</v>
      </c>
    </row>
    <row r="17" spans="1:7">
      <c r="F17" t="s">
        <v>150</v>
      </c>
      <c r="G17">
        <v>80</v>
      </c>
    </row>
    <row r="20" spans="1:7">
      <c r="A20" t="s">
        <v>1093</v>
      </c>
      <c r="B20" t="s">
        <v>1099</v>
      </c>
      <c r="C20" t="s">
        <v>1095</v>
      </c>
      <c r="F20" t="s">
        <v>152</v>
      </c>
      <c r="G20">
        <v>-340</v>
      </c>
    </row>
    <row r="23" spans="1:7">
      <c r="F23" t="s">
        <v>150</v>
      </c>
      <c r="G23">
        <v>340</v>
      </c>
    </row>
    <row r="28" spans="1:7">
      <c r="A28" t="s">
        <v>1093</v>
      </c>
      <c r="B28" t="s">
        <v>1100</v>
      </c>
      <c r="C28" t="s">
        <v>1095</v>
      </c>
      <c r="F28" t="s">
        <v>152</v>
      </c>
      <c r="G28">
        <v>-40</v>
      </c>
    </row>
    <row r="31" spans="1:7">
      <c r="F31" t="s">
        <v>150</v>
      </c>
      <c r="G31">
        <v>40</v>
      </c>
    </row>
  </sheetData>
  <pageMargins left="0.7" right="0.7" top="0.78740157499999996" bottom="0.78740157499999996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3A17CE-0126-41B3-8826-FAF3BAC9EBAF}">
  <dimension ref="A1:Y117"/>
  <sheetViews>
    <sheetView topLeftCell="C38" zoomScale="90" zoomScaleNormal="90" workbookViewId="0">
      <selection activeCell="S93" sqref="S93"/>
    </sheetView>
  </sheetViews>
  <sheetFormatPr defaultColWidth="11.42578125" defaultRowHeight="14.45" outlineLevelRow="2"/>
  <cols>
    <col min="1" max="2" width="9.28515625" customWidth="1"/>
    <col min="3" max="3" width="43.42578125" customWidth="1"/>
    <col min="4" max="4" width="13.7109375" hidden="1" customWidth="1"/>
    <col min="5" max="5" width="12.140625" hidden="1" customWidth="1"/>
    <col min="6" max="9" width="13.5703125" customWidth="1"/>
    <col min="10" max="11" width="13.5703125" style="391" customWidth="1"/>
    <col min="12" max="23" width="12.140625" customWidth="1"/>
  </cols>
  <sheetData>
    <row r="1" spans="1:25">
      <c r="A1" s="193"/>
      <c r="B1" s="194"/>
      <c r="C1" s="194"/>
      <c r="D1" s="62" t="s">
        <v>622</v>
      </c>
      <c r="E1" s="63" t="s">
        <v>622</v>
      </c>
      <c r="F1" s="62" t="s">
        <v>622</v>
      </c>
      <c r="G1" s="308" t="s">
        <v>622</v>
      </c>
      <c r="H1" s="62" t="s">
        <v>622</v>
      </c>
      <c r="I1" s="308" t="s">
        <v>622</v>
      </c>
      <c r="J1" s="382" t="s">
        <v>622</v>
      </c>
      <c r="K1" s="308" t="s">
        <v>622</v>
      </c>
      <c r="L1" s="195" t="s">
        <v>622</v>
      </c>
      <c r="M1" s="196" t="s">
        <v>622</v>
      </c>
      <c r="N1" s="196" t="s">
        <v>622</v>
      </c>
      <c r="O1" s="196" t="s">
        <v>622</v>
      </c>
      <c r="P1" s="196" t="s">
        <v>622</v>
      </c>
      <c r="Q1" s="196" t="s">
        <v>622</v>
      </c>
      <c r="R1" s="196" t="s">
        <v>622</v>
      </c>
      <c r="S1" s="196" t="s">
        <v>622</v>
      </c>
      <c r="T1" s="196" t="s">
        <v>622</v>
      </c>
      <c r="U1" s="196" t="s">
        <v>622</v>
      </c>
      <c r="V1" s="196" t="s">
        <v>622</v>
      </c>
      <c r="W1" s="63" t="s">
        <v>622</v>
      </c>
    </row>
    <row r="2" spans="1:25">
      <c r="A2" s="197"/>
      <c r="B2" s="22"/>
      <c r="C2" s="22"/>
      <c r="D2" s="67" t="s">
        <v>626</v>
      </c>
      <c r="E2" s="68" t="s">
        <v>626</v>
      </c>
      <c r="F2" s="67" t="s">
        <v>627</v>
      </c>
      <c r="G2" s="309" t="s">
        <v>627</v>
      </c>
      <c r="H2" s="67" t="s">
        <v>627</v>
      </c>
      <c r="I2" s="309" t="s">
        <v>628</v>
      </c>
      <c r="J2" s="383" t="s">
        <v>1101</v>
      </c>
      <c r="K2" s="309" t="s">
        <v>1102</v>
      </c>
      <c r="L2" s="69" t="s">
        <v>1103</v>
      </c>
      <c r="M2" s="69" t="s">
        <v>1103</v>
      </c>
      <c r="N2" s="69" t="s">
        <v>1103</v>
      </c>
      <c r="O2" s="69" t="s">
        <v>1103</v>
      </c>
      <c r="P2" s="69" t="s">
        <v>1103</v>
      </c>
      <c r="Q2" s="69" t="s">
        <v>1103</v>
      </c>
      <c r="R2" s="69" t="s">
        <v>1103</v>
      </c>
      <c r="S2" s="69" t="s">
        <v>1103</v>
      </c>
      <c r="T2" s="69" t="s">
        <v>1103</v>
      </c>
      <c r="U2" s="69" t="s">
        <v>1103</v>
      </c>
      <c r="V2" s="69" t="s">
        <v>1103</v>
      </c>
      <c r="W2" s="69" t="s">
        <v>1103</v>
      </c>
    </row>
    <row r="3" spans="1:25">
      <c r="A3" s="197" t="s">
        <v>1104</v>
      </c>
      <c r="B3" s="22" t="s">
        <v>1105</v>
      </c>
      <c r="C3" s="22"/>
      <c r="D3" s="67" t="s">
        <v>629</v>
      </c>
      <c r="E3" s="70" t="s">
        <v>630</v>
      </c>
      <c r="F3" s="67" t="s">
        <v>629</v>
      </c>
      <c r="G3" s="309" t="s">
        <v>629</v>
      </c>
      <c r="H3" s="67" t="s">
        <v>1106</v>
      </c>
      <c r="I3" s="309" t="s">
        <v>629</v>
      </c>
      <c r="J3" s="383" t="s">
        <v>630</v>
      </c>
      <c r="K3" s="309" t="s">
        <v>629</v>
      </c>
      <c r="L3" s="181" t="s">
        <v>630</v>
      </c>
      <c r="M3" s="71" t="s">
        <v>630</v>
      </c>
      <c r="N3" s="71" t="s">
        <v>630</v>
      </c>
      <c r="O3" s="71" t="s">
        <v>630</v>
      </c>
      <c r="P3" s="71" t="s">
        <v>630</v>
      </c>
      <c r="Q3" s="71" t="s">
        <v>630</v>
      </c>
      <c r="R3" s="71" t="s">
        <v>630</v>
      </c>
      <c r="S3" s="71" t="s">
        <v>630</v>
      </c>
      <c r="T3" s="71" t="s">
        <v>630</v>
      </c>
      <c r="U3" s="71" t="s">
        <v>630</v>
      </c>
      <c r="V3" s="71" t="s">
        <v>630</v>
      </c>
      <c r="W3" s="70" t="s">
        <v>630</v>
      </c>
    </row>
    <row r="4" spans="1:25" ht="29.45" thickBot="1">
      <c r="A4" s="198" t="s">
        <v>632</v>
      </c>
      <c r="B4" s="76"/>
      <c r="C4" s="76" t="s">
        <v>633</v>
      </c>
      <c r="D4" s="72" t="s">
        <v>1107</v>
      </c>
      <c r="E4" s="73">
        <v>45199</v>
      </c>
      <c r="F4" s="72" t="s">
        <v>637</v>
      </c>
      <c r="G4" s="310" t="s">
        <v>1108</v>
      </c>
      <c r="H4" s="72">
        <v>45565</v>
      </c>
      <c r="I4" s="310" t="s">
        <v>1109</v>
      </c>
      <c r="J4" s="837">
        <v>45930</v>
      </c>
      <c r="K4" s="415" t="s">
        <v>1110</v>
      </c>
      <c r="L4" s="454">
        <v>45961</v>
      </c>
      <c r="M4" s="838">
        <v>45991</v>
      </c>
      <c r="N4" s="838">
        <v>46022</v>
      </c>
      <c r="O4" s="838">
        <v>46053</v>
      </c>
      <c r="P4" s="838">
        <v>46081</v>
      </c>
      <c r="Q4" s="838">
        <v>46112</v>
      </c>
      <c r="R4" s="838">
        <v>46142</v>
      </c>
      <c r="S4" s="838">
        <v>46173</v>
      </c>
      <c r="T4" s="838">
        <v>46203</v>
      </c>
      <c r="U4" s="838">
        <v>46234</v>
      </c>
      <c r="V4" s="838">
        <v>46265</v>
      </c>
      <c r="W4" s="521">
        <v>46295</v>
      </c>
    </row>
    <row r="5" spans="1:25" ht="15" thickBot="1">
      <c r="A5" s="240"/>
      <c r="B5" s="241"/>
      <c r="C5" s="242" t="s">
        <v>652</v>
      </c>
      <c r="D5" s="232"/>
      <c r="E5" s="233"/>
      <c r="F5" s="234"/>
      <c r="G5" s="234"/>
      <c r="H5" s="234"/>
      <c r="I5" s="234"/>
      <c r="J5" s="384"/>
      <c r="K5" s="384"/>
      <c r="L5" s="235"/>
      <c r="M5" s="236"/>
      <c r="N5" s="236"/>
      <c r="O5" s="236"/>
      <c r="P5" s="236"/>
      <c r="Q5" s="236"/>
      <c r="R5" s="236"/>
      <c r="S5" s="236"/>
      <c r="T5" s="236"/>
      <c r="U5" s="236"/>
      <c r="V5" s="236"/>
      <c r="W5" s="237"/>
      <c r="X5" s="20"/>
      <c r="Y5" s="20"/>
    </row>
    <row r="6" spans="1:25" outlineLevel="2">
      <c r="A6" s="839" t="s">
        <v>87</v>
      </c>
      <c r="B6" s="840" t="s">
        <v>52</v>
      </c>
      <c r="C6" s="841" t="s">
        <v>1111</v>
      </c>
      <c r="D6" s="842">
        <f>Haushalt!G38</f>
        <v>56381</v>
      </c>
      <c r="E6" s="842">
        <f>HHJ_2024_2025!H12</f>
        <v>37655.370000000003</v>
      </c>
      <c r="F6" s="842">
        <f>Haushalt!I38</f>
        <v>46150</v>
      </c>
      <c r="G6" s="843" t="e">
        <f>Haushalt!#REF!</f>
        <v>#REF!</v>
      </c>
      <c r="H6" s="347">
        <v>44449.34</v>
      </c>
      <c r="I6" s="351">
        <v>48000</v>
      </c>
      <c r="J6" s="393">
        <v>45959.97</v>
      </c>
      <c r="K6" s="844">
        <f>Haushalt!N38</f>
        <v>45000</v>
      </c>
      <c r="L6" s="456">
        <f>Haushalt!O$38</f>
        <v>449.1</v>
      </c>
      <c r="M6" s="456">
        <f>Haushalt!P$38</f>
        <v>449.1</v>
      </c>
      <c r="N6" s="456">
        <f>Haushalt!Q$38</f>
        <v>499</v>
      </c>
      <c r="O6" s="456">
        <f>Haushalt!R$38</f>
        <v>14071.89</v>
      </c>
      <c r="P6" s="456">
        <f>Haushalt!S$38</f>
        <v>21357.48</v>
      </c>
      <c r="Q6" s="456">
        <f>Haushalt!T$38</f>
        <v>21307.48</v>
      </c>
      <c r="R6" s="456">
        <f>Haushalt!U$38</f>
        <v>21307.48</v>
      </c>
      <c r="S6" s="456">
        <f>Haushalt!V$38</f>
        <v>21307.48</v>
      </c>
      <c r="T6" s="456">
        <f>Haushalt!W$38</f>
        <v>21307.48</v>
      </c>
      <c r="U6" s="456" t="e">
        <f>Haushalt!#REF!</f>
        <v>#REF!</v>
      </c>
      <c r="V6" s="456" t="e">
        <f>Haushalt!#REF!</f>
        <v>#REF!</v>
      </c>
      <c r="W6" s="456" t="e">
        <f>Haushalt!#REF!</f>
        <v>#REF!</v>
      </c>
      <c r="X6" s="20"/>
      <c r="Y6" s="20"/>
    </row>
    <row r="7" spans="1:25" outlineLevel="2">
      <c r="A7" s="845" t="s">
        <v>101</v>
      </c>
      <c r="B7" s="490"/>
      <c r="C7" s="846" t="s">
        <v>1112</v>
      </c>
      <c r="D7" s="847">
        <f>Haushalt!G45</f>
        <v>0</v>
      </c>
      <c r="E7" s="847"/>
      <c r="F7" s="847">
        <f>Haushalt!I45</f>
        <v>0</v>
      </c>
      <c r="G7" s="848" t="e">
        <f>Haushalt!#REF!</f>
        <v>#REF!</v>
      </c>
      <c r="H7" s="849"/>
      <c r="I7" s="850"/>
      <c r="J7" s="851"/>
      <c r="K7" s="852">
        <f>Haushalt!N45</f>
        <v>0</v>
      </c>
      <c r="L7" s="853"/>
      <c r="M7" s="853"/>
      <c r="N7" s="853"/>
      <c r="O7" s="853"/>
      <c r="P7" s="853"/>
      <c r="Q7" s="853"/>
      <c r="R7" s="853"/>
      <c r="S7" s="853"/>
      <c r="T7" s="853"/>
      <c r="U7" s="853"/>
      <c r="V7" s="853"/>
      <c r="W7" s="853"/>
      <c r="X7" s="20"/>
      <c r="Y7" s="20"/>
    </row>
    <row r="8" spans="1:25" ht="15" outlineLevel="2" thickBot="1">
      <c r="A8" s="231" t="s">
        <v>108</v>
      </c>
      <c r="B8" s="227"/>
      <c r="C8" s="244" t="s">
        <v>1113</v>
      </c>
      <c r="D8" s="228">
        <f>Haushalt!G52</f>
        <v>0</v>
      </c>
      <c r="E8" s="228"/>
      <c r="F8" s="228">
        <f>Haushalt!I52</f>
        <v>0</v>
      </c>
      <c r="G8" s="349" t="e">
        <f>Haushalt!#REF!</f>
        <v>#REF!</v>
      </c>
      <c r="H8" s="348"/>
      <c r="I8" s="352"/>
      <c r="J8" s="392"/>
      <c r="K8" s="386">
        <f>Haushalt!N52</f>
        <v>0</v>
      </c>
      <c r="L8" s="229"/>
      <c r="M8" s="229"/>
      <c r="N8" s="229"/>
      <c r="O8" s="229"/>
      <c r="P8" s="229"/>
      <c r="Q8" s="229"/>
      <c r="R8" s="229"/>
      <c r="S8" s="229"/>
      <c r="T8" s="229"/>
      <c r="U8" s="229"/>
      <c r="V8" s="229"/>
      <c r="W8" s="229"/>
      <c r="X8" s="20"/>
      <c r="Y8" s="20"/>
    </row>
    <row r="9" spans="1:25" outlineLevel="2">
      <c r="A9" s="839" t="s">
        <v>89</v>
      </c>
      <c r="B9" s="840" t="s">
        <v>55</v>
      </c>
      <c r="C9" s="841" t="s">
        <v>1114</v>
      </c>
      <c r="D9" s="842">
        <f>Haushalt!G39</f>
        <v>10576</v>
      </c>
      <c r="E9" s="842">
        <f>HHJ_2024_2025!H13</f>
        <v>2690</v>
      </c>
      <c r="F9" s="842">
        <f>Haushalt!I39</f>
        <v>8510</v>
      </c>
      <c r="G9" s="843" t="e">
        <f>Haushalt!#REF!</f>
        <v>#REF!</v>
      </c>
      <c r="H9" s="854">
        <v>2595</v>
      </c>
      <c r="I9" s="455">
        <v>4500</v>
      </c>
      <c r="J9" s="461">
        <v>1200</v>
      </c>
      <c r="K9" s="844">
        <f>Haushalt!N39</f>
        <v>0</v>
      </c>
      <c r="L9" s="456">
        <f>Haushalt!O$39</f>
        <v>0</v>
      </c>
      <c r="M9" s="456">
        <f>Haushalt!P$39</f>
        <v>0</v>
      </c>
      <c r="N9" s="456">
        <f>Haushalt!Q$39</f>
        <v>0</v>
      </c>
      <c r="O9" s="456">
        <f>Haushalt!R$39</f>
        <v>0</v>
      </c>
      <c r="P9" s="456">
        <f>Haushalt!S$39</f>
        <v>0</v>
      </c>
      <c r="Q9" s="456">
        <f>Haushalt!T$39</f>
        <v>0</v>
      </c>
      <c r="R9" s="456">
        <f>Haushalt!U$39</f>
        <v>0</v>
      </c>
      <c r="S9" s="456">
        <f>Haushalt!V$39</f>
        <v>0</v>
      </c>
      <c r="T9" s="456">
        <f>Haushalt!W$39</f>
        <v>0</v>
      </c>
      <c r="U9" s="456" t="e">
        <f>Haushalt!#REF!</f>
        <v>#REF!</v>
      </c>
      <c r="V9" s="456" t="e">
        <f>Haushalt!#REF!</f>
        <v>#REF!</v>
      </c>
      <c r="W9" s="456" t="e">
        <f>Haushalt!#REF!</f>
        <v>#REF!</v>
      </c>
      <c r="X9" s="20"/>
      <c r="Y9" s="20"/>
    </row>
    <row r="10" spans="1:25" outlineLevel="2">
      <c r="A10" s="845" t="s">
        <v>102</v>
      </c>
      <c r="B10" s="490"/>
      <c r="C10" s="846" t="s">
        <v>1115</v>
      </c>
      <c r="D10" s="847">
        <f>Haushalt!G46</f>
        <v>1200</v>
      </c>
      <c r="E10" s="847"/>
      <c r="F10" s="847">
        <f>Haushalt!I46</f>
        <v>500</v>
      </c>
      <c r="G10" s="848" t="e">
        <f>Haushalt!#REF!</f>
        <v>#REF!</v>
      </c>
      <c r="H10" s="849"/>
      <c r="I10" s="850"/>
      <c r="J10" s="851"/>
      <c r="K10" s="852">
        <f>Haushalt!N46</f>
        <v>0</v>
      </c>
      <c r="L10" s="853"/>
      <c r="M10" s="853"/>
      <c r="N10" s="853"/>
      <c r="O10" s="853"/>
      <c r="P10" s="853"/>
      <c r="Q10" s="853"/>
      <c r="R10" s="853"/>
      <c r="S10" s="853"/>
      <c r="T10" s="853"/>
      <c r="U10" s="853"/>
      <c r="V10" s="853"/>
      <c r="W10" s="853"/>
      <c r="X10" s="20"/>
      <c r="Y10" s="20"/>
    </row>
    <row r="11" spans="1:25" ht="15" outlineLevel="2" thickBot="1">
      <c r="A11" s="231" t="s">
        <v>109</v>
      </c>
      <c r="B11" s="227"/>
      <c r="C11" s="199" t="s">
        <v>1116</v>
      </c>
      <c r="D11" s="228">
        <f>Haushalt!G53</f>
        <v>0</v>
      </c>
      <c r="E11" s="228"/>
      <c r="F11" s="228">
        <f>Haushalt!I53</f>
        <v>0</v>
      </c>
      <c r="G11" s="349" t="e">
        <f>Haushalt!#REF!</f>
        <v>#REF!</v>
      </c>
      <c r="H11" s="348"/>
      <c r="I11" s="352"/>
      <c r="J11" s="392"/>
      <c r="K11" s="386">
        <f>Haushalt!N53</f>
        <v>0</v>
      </c>
      <c r="L11" s="229"/>
      <c r="M11" s="229"/>
      <c r="N11" s="229"/>
      <c r="O11" s="229"/>
      <c r="P11" s="229"/>
      <c r="Q11" s="229"/>
      <c r="R11" s="229"/>
      <c r="S11" s="229"/>
      <c r="T11" s="229"/>
      <c r="U11" s="229"/>
      <c r="V11" s="229"/>
      <c r="W11" s="229"/>
      <c r="X11" s="20"/>
      <c r="Y11" s="20"/>
    </row>
    <row r="12" spans="1:25" outlineLevel="2">
      <c r="A12" s="839" t="s">
        <v>91</v>
      </c>
      <c r="B12" s="840" t="s">
        <v>92</v>
      </c>
      <c r="C12" s="841" t="s">
        <v>1117</v>
      </c>
      <c r="D12" s="842">
        <f>Haushalt!G40</f>
        <v>29222</v>
      </c>
      <c r="E12" s="842">
        <f>HHJ_2024_2025!H17</f>
        <v>0</v>
      </c>
      <c r="F12" s="842">
        <f>Haushalt!I40</f>
        <v>24000</v>
      </c>
      <c r="G12" s="843" t="e">
        <f>Haushalt!#REF!</f>
        <v>#REF!</v>
      </c>
      <c r="H12" s="854">
        <v>0</v>
      </c>
      <c r="I12" s="455">
        <v>4500</v>
      </c>
      <c r="J12" s="461">
        <v>0</v>
      </c>
      <c r="K12" s="844">
        <f>Haushalt!N40</f>
        <v>0</v>
      </c>
      <c r="L12" s="456">
        <f>Haushalt!O$40</f>
        <v>0</v>
      </c>
      <c r="M12" s="456">
        <f>Haushalt!P$40</f>
        <v>0</v>
      </c>
      <c r="N12" s="456">
        <f>Haushalt!Q$40</f>
        <v>0</v>
      </c>
      <c r="O12" s="456">
        <f>Haushalt!R$40</f>
        <v>0</v>
      </c>
      <c r="P12" s="456">
        <f>Haushalt!S$40</f>
        <v>0</v>
      </c>
      <c r="Q12" s="456">
        <f>Haushalt!T$40</f>
        <v>0</v>
      </c>
      <c r="R12" s="456">
        <f>Haushalt!U$40</f>
        <v>0</v>
      </c>
      <c r="S12" s="456">
        <f>Haushalt!V$40</f>
        <v>0</v>
      </c>
      <c r="T12" s="456">
        <f>Haushalt!W$40</f>
        <v>0</v>
      </c>
      <c r="U12" s="456" t="e">
        <f>Haushalt!#REF!</f>
        <v>#REF!</v>
      </c>
      <c r="V12" s="456" t="e">
        <f>Haushalt!#REF!</f>
        <v>#REF!</v>
      </c>
      <c r="W12" s="456" t="e">
        <f>Haushalt!#REF!</f>
        <v>#REF!</v>
      </c>
      <c r="X12" s="20"/>
      <c r="Y12" s="20"/>
    </row>
    <row r="13" spans="1:25" outlineLevel="2">
      <c r="A13" s="855" t="s">
        <v>103</v>
      </c>
      <c r="B13" s="856"/>
      <c r="C13" s="846" t="s">
        <v>1118</v>
      </c>
      <c r="D13" s="857">
        <f>Haushalt!G47</f>
        <v>0</v>
      </c>
      <c r="E13" s="857"/>
      <c r="F13" s="857">
        <f>Haushalt!I47</f>
        <v>0</v>
      </c>
      <c r="G13" s="858" t="e">
        <f>Haushalt!#REF!</f>
        <v>#REF!</v>
      </c>
      <c r="H13" s="859"/>
      <c r="I13" s="860"/>
      <c r="J13" s="861"/>
      <c r="K13" s="862">
        <f>Haushalt!N47</f>
        <v>0</v>
      </c>
      <c r="L13" s="451"/>
      <c r="M13" s="451"/>
      <c r="N13" s="451"/>
      <c r="O13" s="451"/>
      <c r="P13" s="451"/>
      <c r="Q13" s="451"/>
      <c r="R13" s="451"/>
      <c r="S13" s="451"/>
      <c r="T13" s="451"/>
      <c r="U13" s="451"/>
      <c r="V13" s="451"/>
      <c r="W13" s="451"/>
      <c r="X13" s="20"/>
      <c r="Y13" s="20"/>
    </row>
    <row r="14" spans="1:25" ht="15" outlineLevel="2" thickBot="1">
      <c r="A14" s="231" t="s">
        <v>110</v>
      </c>
      <c r="B14" s="227"/>
      <c r="C14" s="199" t="s">
        <v>1119</v>
      </c>
      <c r="D14" s="228">
        <f>Haushalt!G54</f>
        <v>0</v>
      </c>
      <c r="E14" s="228"/>
      <c r="F14" s="228">
        <f>Haushalt!I54</f>
        <v>0</v>
      </c>
      <c r="G14" s="349" t="e">
        <f>Haushalt!#REF!</f>
        <v>#REF!</v>
      </c>
      <c r="H14" s="348"/>
      <c r="I14" s="352"/>
      <c r="J14" s="392"/>
      <c r="K14" s="386">
        <f>Haushalt!N54</f>
        <v>0</v>
      </c>
      <c r="L14" s="229"/>
      <c r="M14" s="229"/>
      <c r="N14" s="229"/>
      <c r="O14" s="229"/>
      <c r="P14" s="229"/>
      <c r="Q14" s="229"/>
      <c r="R14" s="229"/>
      <c r="S14" s="229"/>
      <c r="T14" s="229"/>
      <c r="U14" s="229"/>
      <c r="V14" s="229"/>
      <c r="W14" s="229"/>
      <c r="X14" s="20"/>
      <c r="Y14" s="20"/>
    </row>
    <row r="15" spans="1:25" outlineLevel="2">
      <c r="A15" s="839" t="s">
        <v>94</v>
      </c>
      <c r="B15" s="840" t="s">
        <v>95</v>
      </c>
      <c r="C15" s="841" t="s">
        <v>1120</v>
      </c>
      <c r="D15" s="842">
        <f>Haushalt!G41</f>
        <v>29578</v>
      </c>
      <c r="E15" s="842">
        <f>HHJ_2024_2025!H15</f>
        <v>23885</v>
      </c>
      <c r="F15" s="842">
        <f>Haushalt!I41</f>
        <v>23500</v>
      </c>
      <c r="G15" s="843" t="e">
        <f>Haushalt!#REF!</f>
        <v>#REF!</v>
      </c>
      <c r="H15" s="854">
        <v>28160</v>
      </c>
      <c r="I15" s="455">
        <v>25000</v>
      </c>
      <c r="J15" s="461">
        <v>26800</v>
      </c>
      <c r="K15" s="844">
        <f>Haushalt!N41</f>
        <v>25000</v>
      </c>
      <c r="L15" s="456">
        <f>Haushalt!O$41</f>
        <v>1400</v>
      </c>
      <c r="M15" s="456">
        <f>Haushalt!P$41</f>
        <v>3700</v>
      </c>
      <c r="N15" s="456">
        <f>Haushalt!Q$41</f>
        <v>3700</v>
      </c>
      <c r="O15" s="456">
        <f>Haushalt!R$41</f>
        <v>7600</v>
      </c>
      <c r="P15" s="456">
        <f>Haushalt!S$41</f>
        <v>14150</v>
      </c>
      <c r="Q15" s="456">
        <f>Haushalt!T$41</f>
        <v>15000</v>
      </c>
      <c r="R15" s="456">
        <f>Haushalt!U$41</f>
        <v>15350</v>
      </c>
      <c r="S15" s="456">
        <f>Haushalt!V$41</f>
        <v>15800</v>
      </c>
      <c r="T15" s="456">
        <f>Haushalt!W$41</f>
        <v>15300</v>
      </c>
      <c r="U15" s="456" t="e">
        <f>Haushalt!#REF!</f>
        <v>#REF!</v>
      </c>
      <c r="V15" s="456" t="e">
        <f>Haushalt!#REF!</f>
        <v>#REF!</v>
      </c>
      <c r="W15" s="456" t="e">
        <f>Haushalt!#REF!</f>
        <v>#REF!</v>
      </c>
      <c r="X15" s="20"/>
      <c r="Y15" s="20"/>
    </row>
    <row r="16" spans="1:25" outlineLevel="2">
      <c r="A16" s="845" t="s">
        <v>104</v>
      </c>
      <c r="B16" s="490"/>
      <c r="C16" s="846" t="s">
        <v>1121</v>
      </c>
      <c r="D16" s="847">
        <f>Haushalt!G48</f>
        <v>0</v>
      </c>
      <c r="E16" s="847"/>
      <c r="F16" s="847">
        <f>Haushalt!I48</f>
        <v>0</v>
      </c>
      <c r="G16" s="848" t="e">
        <f>Haushalt!#REF!</f>
        <v>#REF!</v>
      </c>
      <c r="H16" s="849"/>
      <c r="I16" s="850"/>
      <c r="J16" s="851"/>
      <c r="K16" s="852">
        <f>Haushalt!N48</f>
        <v>0</v>
      </c>
      <c r="L16" s="853"/>
      <c r="M16" s="853"/>
      <c r="N16" s="853"/>
      <c r="O16" s="853"/>
      <c r="P16" s="853"/>
      <c r="Q16" s="853"/>
      <c r="R16" s="853"/>
      <c r="S16" s="853"/>
      <c r="T16" s="853"/>
      <c r="U16" s="853"/>
      <c r="V16" s="853"/>
      <c r="W16" s="853"/>
      <c r="X16" s="20"/>
      <c r="Y16" s="20"/>
    </row>
    <row r="17" spans="1:25" ht="15" outlineLevel="2" thickBot="1">
      <c r="A17" s="231" t="s">
        <v>111</v>
      </c>
      <c r="B17" s="227"/>
      <c r="C17" s="199" t="s">
        <v>1122</v>
      </c>
      <c r="D17" s="228">
        <f>Haushalt!G55</f>
        <v>0</v>
      </c>
      <c r="E17" s="228"/>
      <c r="F17" s="228">
        <f>Haushalt!I55</f>
        <v>0</v>
      </c>
      <c r="G17" s="349" t="e">
        <f>Haushalt!#REF!</f>
        <v>#REF!</v>
      </c>
      <c r="H17" s="348"/>
      <c r="I17" s="352"/>
      <c r="J17" s="392"/>
      <c r="K17" s="386">
        <f>Haushalt!N55</f>
        <v>0</v>
      </c>
      <c r="L17" s="229"/>
      <c r="M17" s="229"/>
      <c r="N17" s="229"/>
      <c r="O17" s="229"/>
      <c r="P17" s="229"/>
      <c r="Q17" s="229"/>
      <c r="R17" s="229"/>
      <c r="S17" s="229"/>
      <c r="T17" s="229"/>
      <c r="U17" s="229"/>
      <c r="V17" s="229"/>
      <c r="W17" s="229"/>
      <c r="X17" s="20"/>
      <c r="Y17" s="20"/>
    </row>
    <row r="18" spans="1:25" outlineLevel="2">
      <c r="A18" s="839" t="s">
        <v>97</v>
      </c>
      <c r="B18" s="840" t="s">
        <v>58</v>
      </c>
      <c r="C18" s="841" t="s">
        <v>1123</v>
      </c>
      <c r="D18" s="842">
        <f>Haushalt!G42</f>
        <v>19572.5</v>
      </c>
      <c r="E18" s="842">
        <f>HHJ_2024_2025!H14</f>
        <v>7685</v>
      </c>
      <c r="F18" s="842">
        <f>Haushalt!I42</f>
        <v>15500</v>
      </c>
      <c r="G18" s="843" t="e">
        <f>Haushalt!#REF!</f>
        <v>#REF!</v>
      </c>
      <c r="H18" s="854">
        <v>7230</v>
      </c>
      <c r="I18" s="455">
        <v>13000</v>
      </c>
      <c r="J18" s="461">
        <v>11385</v>
      </c>
      <c r="K18" s="844">
        <f>Haushalt!N42</f>
        <v>13000</v>
      </c>
      <c r="L18" s="456">
        <f>Haushalt!O$42</f>
        <v>2080</v>
      </c>
      <c r="M18" s="456">
        <f>Haushalt!P$42</f>
        <v>3015</v>
      </c>
      <c r="N18" s="456">
        <f>Haushalt!Q$42</f>
        <v>3180</v>
      </c>
      <c r="O18" s="456">
        <f>Haushalt!R$42</f>
        <v>3180</v>
      </c>
      <c r="P18" s="456">
        <f>Haushalt!S$42</f>
        <v>3180</v>
      </c>
      <c r="Q18" s="456">
        <f>Haushalt!T$42</f>
        <v>5880</v>
      </c>
      <c r="R18" s="456">
        <f>Haushalt!U$42</f>
        <v>6055</v>
      </c>
      <c r="S18" s="456">
        <f>Haushalt!V$42</f>
        <v>7550</v>
      </c>
      <c r="T18" s="456">
        <f>Haushalt!W$42</f>
        <v>7715</v>
      </c>
      <c r="U18" s="456" t="e">
        <f>Haushalt!#REF!</f>
        <v>#REF!</v>
      </c>
      <c r="V18" s="456" t="e">
        <f>Haushalt!#REF!</f>
        <v>#REF!</v>
      </c>
      <c r="W18" s="456" t="e">
        <f>Haushalt!#REF!</f>
        <v>#REF!</v>
      </c>
      <c r="X18" s="20"/>
      <c r="Y18" s="20"/>
    </row>
    <row r="19" spans="1:25" outlineLevel="2">
      <c r="A19" s="845" t="s">
        <v>105</v>
      </c>
      <c r="B19" s="490"/>
      <c r="C19" s="846" t="s">
        <v>1124</v>
      </c>
      <c r="D19" s="847">
        <f>Haushalt!G49</f>
        <v>0</v>
      </c>
      <c r="E19" s="847"/>
      <c r="F19" s="847">
        <f>Haushalt!I49</f>
        <v>0</v>
      </c>
      <c r="G19" s="848" t="e">
        <f>Haushalt!#REF!</f>
        <v>#REF!</v>
      </c>
      <c r="H19" s="849"/>
      <c r="I19" s="850"/>
      <c r="J19" s="851"/>
      <c r="K19" s="852">
        <f>Haushalt!N49</f>
        <v>0</v>
      </c>
      <c r="L19" s="853"/>
      <c r="M19" s="853"/>
      <c r="N19" s="853"/>
      <c r="O19" s="853"/>
      <c r="P19" s="853"/>
      <c r="Q19" s="853"/>
      <c r="R19" s="853"/>
      <c r="S19" s="853"/>
      <c r="T19" s="853"/>
      <c r="U19" s="853"/>
      <c r="V19" s="853"/>
      <c r="W19" s="853"/>
      <c r="X19" s="20"/>
      <c r="Y19" s="20"/>
    </row>
    <row r="20" spans="1:25" ht="15" outlineLevel="2" thickBot="1">
      <c r="A20" s="231" t="s">
        <v>112</v>
      </c>
      <c r="B20" s="227"/>
      <c r="C20" s="199" t="s">
        <v>1125</v>
      </c>
      <c r="D20" s="228">
        <f>Haushalt!G56</f>
        <v>0</v>
      </c>
      <c r="E20" s="228"/>
      <c r="F20" s="228">
        <f>Haushalt!I56</f>
        <v>0</v>
      </c>
      <c r="G20" s="349" t="e">
        <f>Haushalt!#REF!</f>
        <v>#REF!</v>
      </c>
      <c r="H20" s="348"/>
      <c r="I20" s="352"/>
      <c r="J20" s="394"/>
      <c r="K20" s="386">
        <f>Haushalt!N56</f>
        <v>0</v>
      </c>
      <c r="L20" s="229"/>
      <c r="M20" s="229"/>
      <c r="N20" s="230"/>
      <c r="O20" s="230"/>
      <c r="P20" s="230"/>
      <c r="Q20" s="230"/>
      <c r="R20" s="230"/>
      <c r="S20" s="230"/>
      <c r="T20" s="230"/>
      <c r="U20" s="230"/>
      <c r="V20" s="230"/>
      <c r="W20" s="230"/>
      <c r="X20" s="20"/>
      <c r="Y20" s="20"/>
    </row>
    <row r="21" spans="1:25" ht="15" thickBot="1">
      <c r="A21" s="200"/>
      <c r="B21" s="201"/>
      <c r="C21" s="202" t="s">
        <v>1126</v>
      </c>
      <c r="D21" s="299">
        <f t="shared" ref="D21:V21" si="0">SUM(D6:D20)</f>
        <v>146529.5</v>
      </c>
      <c r="E21" s="300">
        <f t="shared" si="0"/>
        <v>71915.37</v>
      </c>
      <c r="F21" s="301">
        <f t="shared" si="0"/>
        <v>118160</v>
      </c>
      <c r="G21" s="350" t="e">
        <f t="shared" ref="G21:I21" si="1">SUM(G6:G20)</f>
        <v>#REF!</v>
      </c>
      <c r="H21" s="305">
        <f t="shared" si="1"/>
        <v>82434.34</v>
      </c>
      <c r="I21" s="224">
        <f t="shared" si="1"/>
        <v>95000</v>
      </c>
      <c r="J21" s="398">
        <v>85344.97</v>
      </c>
      <c r="K21" s="414">
        <f>SUM(K6:K20)</f>
        <v>83000</v>
      </c>
      <c r="L21" s="304">
        <f t="shared" si="0"/>
        <v>3929.1</v>
      </c>
      <c r="M21" s="302">
        <f t="shared" si="0"/>
        <v>7164.1</v>
      </c>
      <c r="N21" s="302">
        <f t="shared" si="0"/>
        <v>7379</v>
      </c>
      <c r="O21" s="302">
        <f t="shared" si="0"/>
        <v>24851.89</v>
      </c>
      <c r="P21" s="302">
        <f t="shared" si="0"/>
        <v>38687.479999999996</v>
      </c>
      <c r="Q21" s="302">
        <f t="shared" si="0"/>
        <v>42187.479999999996</v>
      </c>
      <c r="R21" s="302">
        <f t="shared" si="0"/>
        <v>42712.479999999996</v>
      </c>
      <c r="S21" s="302">
        <f t="shared" si="0"/>
        <v>44657.479999999996</v>
      </c>
      <c r="T21" s="302">
        <f t="shared" si="0"/>
        <v>44322.479999999996</v>
      </c>
      <c r="U21" s="302" t="e">
        <f t="shared" si="0"/>
        <v>#REF!</v>
      </c>
      <c r="V21" s="302" t="e">
        <f t="shared" si="0"/>
        <v>#REF!</v>
      </c>
      <c r="W21" s="303" t="e">
        <f t="shared" ref="W21" si="2">SUM(W6:W20)</f>
        <v>#REF!</v>
      </c>
      <c r="X21" s="20"/>
      <c r="Y21" s="20"/>
    </row>
    <row r="22" spans="1:25" ht="15" thickBot="1">
      <c r="A22" s="22"/>
      <c r="B22" s="22"/>
      <c r="C22" s="22"/>
      <c r="D22" s="206"/>
      <c r="E22" s="207"/>
      <c r="F22" s="206"/>
      <c r="G22" s="206"/>
      <c r="H22" s="206"/>
      <c r="I22" s="206"/>
      <c r="J22" s="387"/>
      <c r="K22" s="387"/>
      <c r="L22" s="90"/>
      <c r="M22" s="90"/>
      <c r="N22" s="90"/>
      <c r="O22" s="90"/>
      <c r="P22" s="90"/>
      <c r="Q22" s="90"/>
      <c r="R22" s="90"/>
      <c r="S22" s="90"/>
      <c r="T22" s="90"/>
      <c r="U22" s="90"/>
      <c r="V22" s="90"/>
      <c r="W22" s="208"/>
      <c r="X22" s="20"/>
      <c r="Y22" s="20"/>
    </row>
    <row r="23" spans="1:25" ht="15" thickBot="1">
      <c r="A23" s="238" t="s">
        <v>968</v>
      </c>
      <c r="B23" s="239"/>
      <c r="C23" s="243" t="s">
        <v>969</v>
      </c>
      <c r="D23" s="83"/>
      <c r="E23" s="101"/>
      <c r="F23" s="83"/>
      <c r="G23" s="83"/>
      <c r="H23" s="83"/>
      <c r="I23" s="83"/>
      <c r="J23" s="94"/>
      <c r="K23" s="94"/>
      <c r="L23" s="96"/>
      <c r="M23" s="96"/>
      <c r="N23" s="96"/>
      <c r="O23" s="96"/>
      <c r="P23" s="96"/>
      <c r="Q23" s="96"/>
      <c r="R23" s="96"/>
      <c r="S23" s="96"/>
      <c r="T23" s="96"/>
      <c r="U23" s="90"/>
      <c r="V23" s="90"/>
      <c r="W23" s="96"/>
      <c r="X23" s="20"/>
      <c r="Y23" s="20"/>
    </row>
    <row r="24" spans="1:25" outlineLevel="1">
      <c r="A24" s="863" t="s">
        <v>157</v>
      </c>
      <c r="B24" s="863" t="s">
        <v>970</v>
      </c>
      <c r="C24" s="864" t="s">
        <v>1127</v>
      </c>
      <c r="D24" s="225">
        <f>800*12</f>
        <v>9600</v>
      </c>
      <c r="E24" s="268">
        <v>9600</v>
      </c>
      <c r="F24" s="225">
        <f>800*12</f>
        <v>9600</v>
      </c>
      <c r="G24" s="353">
        <f>800*12</f>
        <v>9600</v>
      </c>
      <c r="H24" s="357">
        <v>9600</v>
      </c>
      <c r="I24" s="356">
        <v>9600</v>
      </c>
      <c r="J24" s="385">
        <v>9600</v>
      </c>
      <c r="K24" s="385">
        <v>9600</v>
      </c>
      <c r="L24" s="298">
        <f>AE_Zuweisung_Fachschaften!E$82</f>
        <v>0</v>
      </c>
      <c r="M24" s="298">
        <f>AE_Zuweisung_Fachschaften!E$82+AE_Zuweisung_Fachschaften!F$82</f>
        <v>0</v>
      </c>
      <c r="N24" s="298">
        <f>AE_Zuweisung_Fachschaften!E82+AE_Zuweisung_Fachschaften!F82+AE_Zuweisung_Fachschaften!G82</f>
        <v>0</v>
      </c>
      <c r="O24" s="298">
        <f>AE_Zuweisung_Fachschaften!E82+AE_Zuweisung_Fachschaften!F82+AE_Zuweisung_Fachschaften!G82+AE_Zuweisung_Fachschaften!H82</f>
        <v>0</v>
      </c>
      <c r="P24" s="298">
        <f>AE_Zuweisung_Fachschaften!E82+AE_Zuweisung_Fachschaften!F82+AE_Zuweisung_Fachschaften!G82+AE_Zuweisung_Fachschaften!H82+AE_Zuweisung_Fachschaften!I82</f>
        <v>0</v>
      </c>
      <c r="Q24" s="298">
        <f>AE_Zuweisung_Fachschaften!E82+AE_Zuweisung_Fachschaften!F82+AE_Zuweisung_Fachschaften!G82+AE_Zuweisung_Fachschaften!H82+AE_Zuweisung_Fachschaften!I82+AE_Zuweisung_Fachschaften!J82</f>
        <v>0</v>
      </c>
      <c r="R24" s="298">
        <f>AE_Zuweisung_Fachschaften!E82+AE_Zuweisung_Fachschaften!F82+AE_Zuweisung_Fachschaften!G82+AE_Zuweisung_Fachschaften!H82+AE_Zuweisung_Fachschaften!I82+AE_Zuweisung_Fachschaften!J82+AE_Zuweisung_Fachschaften!K82</f>
        <v>0</v>
      </c>
      <c r="S24" s="298">
        <f>AE_Zuweisung_Fachschaften!E82+AE_Zuweisung_Fachschaften!F82+AE_Zuweisung_Fachschaften!G82+AE_Zuweisung_Fachschaften!H82+AE_Zuweisung_Fachschaften!I82+AE_Zuweisung_Fachschaften!J82+AE_Zuweisung_Fachschaften!K82+AE_Zuweisung_Fachschaften!L82</f>
        <v>0</v>
      </c>
      <c r="T24" s="298">
        <f>AE_Zuweisung_Fachschaften!E82+AE_Zuweisung_Fachschaften!F82+AE_Zuweisung_Fachschaften!G82+AE_Zuweisung_Fachschaften!H82+AE_Zuweisung_Fachschaften!I82+AE_Zuweisung_Fachschaften!J82+AE_Zuweisung_Fachschaften!K82+AE_Zuweisung_Fachschaften!L82+AE_Zuweisung_Fachschaften!M82</f>
        <v>0</v>
      </c>
      <c r="U24" s="298">
        <f>AE_Zuweisung_Fachschaften!E82+AE_Zuweisung_Fachschaften!F82+AE_Zuweisung_Fachschaften!G82+AE_Zuweisung_Fachschaften!H82+AE_Zuweisung_Fachschaften!I82+AE_Zuweisung_Fachschaften!J82+AE_Zuweisung_Fachschaften!K82+AE_Zuweisung_Fachschaften!L82+AE_Zuweisung_Fachschaften!M82+AE_Zuweisung_Fachschaften!N82</f>
        <v>0</v>
      </c>
      <c r="V24" s="298">
        <f>AE_Zuweisung_Fachschaften!E82+AE_Zuweisung_Fachschaften!F82+AE_Zuweisung_Fachschaften!G82+AE_Zuweisung_Fachschaften!H82+AE_Zuweisung_Fachschaften!I82+AE_Zuweisung_Fachschaften!J82+AE_Zuweisung_Fachschaften!K82+AE_Zuweisung_Fachschaften!L82+AE_Zuweisung_Fachschaften!M82+AE_Zuweisung_Fachschaften!N82+AE_Zuweisung_Fachschaften!O82</f>
        <v>0</v>
      </c>
      <c r="W24" s="298">
        <f>AE_Zuweisung_Fachschaften!E82+AE_Zuweisung_Fachschaften!F82+AE_Zuweisung_Fachschaften!G82+AE_Zuweisung_Fachschaften!H82+AE_Zuweisung_Fachschaften!I82+AE_Zuweisung_Fachschaften!J82+AE_Zuweisung_Fachschaften!K82+AE_Zuweisung_Fachschaften!L82+AE_Zuweisung_Fachschaften!M82+AE_Zuweisung_Fachschaften!N82+AE_Zuweisung_Fachschaften!O82+AE_Zuweisung_Fachschaften!P82</f>
        <v>0</v>
      </c>
      <c r="X24" s="20"/>
      <c r="Y24" s="20"/>
    </row>
    <row r="25" spans="1:25" outlineLevel="1">
      <c r="A25" s="865" t="s">
        <v>162</v>
      </c>
      <c r="B25" s="865" t="s">
        <v>970</v>
      </c>
      <c r="C25" s="864" t="s">
        <v>1128</v>
      </c>
      <c r="D25" s="866">
        <f>Haushalt!G89</f>
        <v>8600</v>
      </c>
      <c r="E25" s="867">
        <f>HHJ_2024_2025!H199-E24</f>
        <v>3695</v>
      </c>
      <c r="F25" s="866">
        <f>Haushalt!I89</f>
        <v>8600</v>
      </c>
      <c r="G25" s="868" t="e">
        <f>Haushalt!#REF!</f>
        <v>#REF!</v>
      </c>
      <c r="H25" s="869">
        <v>6315.5</v>
      </c>
      <c r="I25" s="870">
        <v>9500</v>
      </c>
      <c r="J25" s="852">
        <v>4020</v>
      </c>
      <c r="K25" s="852">
        <v>9500</v>
      </c>
      <c r="L25" s="853">
        <f>Haushalt!O89</f>
        <v>80</v>
      </c>
      <c r="M25" s="853">
        <f>Haushalt!P89</f>
        <v>835</v>
      </c>
      <c r="N25" s="853">
        <f>Haushalt!Q89</f>
        <v>1280</v>
      </c>
      <c r="O25" s="853">
        <f>Haushalt!R89</f>
        <v>1550</v>
      </c>
      <c r="P25" s="853">
        <f>Haushalt!S89</f>
        <v>1550</v>
      </c>
      <c r="Q25" s="853">
        <f>Haushalt!T89</f>
        <v>1550</v>
      </c>
      <c r="R25" s="853">
        <f>Haushalt!U89</f>
        <v>1880</v>
      </c>
      <c r="S25" s="853">
        <f>Haushalt!V89</f>
        <v>2280</v>
      </c>
      <c r="T25" s="853">
        <f>Haushalt!W89</f>
        <v>2600</v>
      </c>
      <c r="U25" s="853"/>
      <c r="V25" s="853"/>
      <c r="W25" s="853"/>
      <c r="X25" s="20"/>
      <c r="Y25" s="20"/>
    </row>
    <row r="26" spans="1:25" outlineLevel="1">
      <c r="A26" s="865" t="s">
        <v>275</v>
      </c>
      <c r="B26" s="865" t="s">
        <v>276</v>
      </c>
      <c r="C26" s="871" t="s">
        <v>1129</v>
      </c>
      <c r="D26" s="866">
        <f>Haushalt!G137</f>
        <v>15000</v>
      </c>
      <c r="E26" s="867">
        <f>HHJ_2024_2025!H200</f>
        <v>4457.1000000000004</v>
      </c>
      <c r="F26" s="866">
        <f>Haushalt!I137</f>
        <v>15000</v>
      </c>
      <c r="G26" s="868" t="e">
        <f>Haushalt!#REF!</f>
        <v>#REF!</v>
      </c>
      <c r="H26" s="869">
        <v>9623.41</v>
      </c>
      <c r="I26" s="870">
        <v>14000</v>
      </c>
      <c r="J26" s="852">
        <v>6469.75</v>
      </c>
      <c r="K26" s="852">
        <v>14000</v>
      </c>
      <c r="L26" s="853">
        <f>Haushalt!O$137</f>
        <v>376</v>
      </c>
      <c r="M26" s="853">
        <f>Haushalt!P$137</f>
        <v>1610.31</v>
      </c>
      <c r="N26" s="853">
        <f>Haushalt!Q$137</f>
        <v>2170.3900000000003</v>
      </c>
      <c r="O26" s="853">
        <f>Haushalt!R$137</f>
        <v>2651.08</v>
      </c>
      <c r="P26" s="853">
        <f>Haushalt!S$137</f>
        <v>2651.08</v>
      </c>
      <c r="Q26" s="853">
        <f>Haushalt!T$137</f>
        <v>2651.08</v>
      </c>
      <c r="R26" s="853">
        <f>Haushalt!U$137</f>
        <v>3576.83</v>
      </c>
      <c r="S26" s="853">
        <f>Haushalt!V$137</f>
        <v>4964.26</v>
      </c>
      <c r="T26" s="853">
        <f>Haushalt!W$137</f>
        <v>5329.66</v>
      </c>
      <c r="U26" s="853" t="e">
        <f>Haushalt!#REF!</f>
        <v>#REF!</v>
      </c>
      <c r="V26" s="853" t="e">
        <f>Haushalt!#REF!</f>
        <v>#REF!</v>
      </c>
      <c r="W26" s="853" t="e">
        <f>Haushalt!#REF!</f>
        <v>#REF!</v>
      </c>
      <c r="X26" s="20"/>
      <c r="Y26" s="20"/>
    </row>
    <row r="27" spans="1:25" outlineLevel="1">
      <c r="A27" s="865" t="s">
        <v>299</v>
      </c>
      <c r="B27" s="865" t="s">
        <v>300</v>
      </c>
      <c r="C27" s="864" t="s">
        <v>1130</v>
      </c>
      <c r="D27" s="866">
        <f>Haushalt!G149</f>
        <v>4200</v>
      </c>
      <c r="E27" s="867">
        <f>HHJ_2024_2025!H202</f>
        <v>1647.92</v>
      </c>
      <c r="F27" s="866">
        <f>Haushalt!I149</f>
        <v>3000</v>
      </c>
      <c r="G27" s="868" t="e">
        <f>Haushalt!#REF!</f>
        <v>#REF!</v>
      </c>
      <c r="H27" s="869">
        <v>2757.48</v>
      </c>
      <c r="I27" s="870">
        <v>6000</v>
      </c>
      <c r="J27" s="852">
        <v>4907.83</v>
      </c>
      <c r="K27" s="852">
        <v>6000</v>
      </c>
      <c r="L27" s="853">
        <f>Haushalt!O$149</f>
        <v>134.32</v>
      </c>
      <c r="M27" s="853">
        <f>Haushalt!P$149</f>
        <v>860.27</v>
      </c>
      <c r="N27" s="853">
        <f>Haushalt!Q$149</f>
        <v>994.58999999999992</v>
      </c>
      <c r="O27" s="853">
        <f>Haushalt!R$149</f>
        <v>1356.6999999999998</v>
      </c>
      <c r="P27" s="853">
        <f>Haushalt!S$149</f>
        <v>1491.02</v>
      </c>
      <c r="Q27" s="853">
        <f>Haushalt!T$149</f>
        <v>1625.34</v>
      </c>
      <c r="R27" s="853">
        <f>Haushalt!U$149</f>
        <v>2165.46</v>
      </c>
      <c r="S27" s="853">
        <f>Haushalt!V$149</f>
        <v>2299.7799999999997</v>
      </c>
      <c r="T27" s="853">
        <f>Haushalt!W$149</f>
        <v>2434.1000000000004</v>
      </c>
      <c r="U27" s="853" t="e">
        <f>Haushalt!#REF!</f>
        <v>#REF!</v>
      </c>
      <c r="V27" s="853" t="e">
        <f>Haushalt!#REF!</f>
        <v>#REF!</v>
      </c>
      <c r="W27" s="853" t="e">
        <f>Haushalt!#REF!</f>
        <v>#REF!</v>
      </c>
      <c r="X27" s="20"/>
      <c r="Y27" s="20"/>
    </row>
    <row r="28" spans="1:25" outlineLevel="1">
      <c r="A28" s="865" t="s">
        <v>325</v>
      </c>
      <c r="B28" s="865" t="s">
        <v>978</v>
      </c>
      <c r="C28" s="872" t="s">
        <v>1131</v>
      </c>
      <c r="D28" s="866">
        <f>Haushalt!G161</f>
        <v>1000</v>
      </c>
      <c r="E28" s="867">
        <f>HHJ_2024_2025!H203</f>
        <v>148.96</v>
      </c>
      <c r="F28" s="866">
        <f>Haushalt!I161</f>
        <v>2000</v>
      </c>
      <c r="G28" s="868" t="e">
        <f>Haushalt!#REF!</f>
        <v>#REF!</v>
      </c>
      <c r="H28" s="869">
        <v>4.59</v>
      </c>
      <c r="I28" s="870">
        <v>500</v>
      </c>
      <c r="J28" s="852">
        <v>1261.3899999999999</v>
      </c>
      <c r="K28" s="852">
        <v>500</v>
      </c>
      <c r="L28" s="853">
        <f>Haushalt!O$161</f>
        <v>0</v>
      </c>
      <c r="M28" s="853">
        <f>Haushalt!P$161</f>
        <v>0</v>
      </c>
      <c r="N28" s="853">
        <f>Haushalt!Q$161</f>
        <v>0</v>
      </c>
      <c r="O28" s="853">
        <f>Haushalt!R$161</f>
        <v>0</v>
      </c>
      <c r="P28" s="853">
        <f>Haushalt!S$161</f>
        <v>0</v>
      </c>
      <c r="Q28" s="853">
        <f>Haushalt!T$161</f>
        <v>0</v>
      </c>
      <c r="R28" s="853">
        <f>Haushalt!U$161</f>
        <v>0</v>
      </c>
      <c r="S28" s="853">
        <f>Haushalt!V$161</f>
        <v>0</v>
      </c>
      <c r="T28" s="853">
        <f>Haushalt!W$161</f>
        <v>0</v>
      </c>
      <c r="U28" s="853" t="e">
        <f>Haushalt!#REF!</f>
        <v>#REF!</v>
      </c>
      <c r="V28" s="853" t="e">
        <f>Haushalt!#REF!</f>
        <v>#REF!</v>
      </c>
      <c r="W28" s="853" t="e">
        <f>Haushalt!#REF!</f>
        <v>#REF!</v>
      </c>
      <c r="X28" s="20"/>
      <c r="Y28" s="20"/>
    </row>
    <row r="29" spans="1:25" outlineLevel="1">
      <c r="A29" s="865" t="s">
        <v>371</v>
      </c>
      <c r="B29" s="865" t="s">
        <v>974</v>
      </c>
      <c r="C29" s="873" t="s">
        <v>1132</v>
      </c>
      <c r="D29" s="866">
        <f>Haushalt!G185</f>
        <v>45600</v>
      </c>
      <c r="E29" s="867">
        <f>HHJ_2024_2025!H201</f>
        <v>32556.25</v>
      </c>
      <c r="F29" s="866">
        <f>Haushalt!I185</f>
        <v>40000</v>
      </c>
      <c r="G29" s="868" t="e">
        <f>Haushalt!#REF!</f>
        <v>#REF!</v>
      </c>
      <c r="H29" s="869">
        <v>25505.38</v>
      </c>
      <c r="I29" s="870">
        <v>43750</v>
      </c>
      <c r="J29" s="852">
        <v>38662.5</v>
      </c>
      <c r="K29" s="852">
        <v>43750</v>
      </c>
      <c r="L29" s="853">
        <f>Haushalt!O$185</f>
        <v>0</v>
      </c>
      <c r="M29" s="853">
        <f>Haushalt!P$185</f>
        <v>0</v>
      </c>
      <c r="N29" s="853">
        <f>Haushalt!Q$185</f>
        <v>0</v>
      </c>
      <c r="O29" s="853">
        <f>Haushalt!R$185</f>
        <v>0</v>
      </c>
      <c r="P29" s="853">
        <f>Haushalt!S$185</f>
        <v>5362.5</v>
      </c>
      <c r="Q29" s="853">
        <f>Haushalt!T$185</f>
        <v>12807.5</v>
      </c>
      <c r="R29" s="853">
        <f>Haushalt!U$185</f>
        <v>16547.5</v>
      </c>
      <c r="S29" s="853">
        <f>Haushalt!V$185</f>
        <v>16547.5</v>
      </c>
      <c r="T29" s="853">
        <f>Haushalt!W$185</f>
        <v>16547.5</v>
      </c>
      <c r="U29" s="853" t="e">
        <f>Haushalt!#REF!</f>
        <v>#REF!</v>
      </c>
      <c r="V29" s="853" t="e">
        <f>Haushalt!#REF!</f>
        <v>#REF!</v>
      </c>
      <c r="W29" s="853" t="e">
        <f>Haushalt!#REF!</f>
        <v>#REF!</v>
      </c>
      <c r="X29" s="20"/>
      <c r="Y29" s="20"/>
    </row>
    <row r="30" spans="1:25" outlineLevel="1">
      <c r="A30" s="865" t="s">
        <v>382</v>
      </c>
      <c r="B30" s="865" t="s">
        <v>974</v>
      </c>
      <c r="C30" s="864" t="s">
        <v>354</v>
      </c>
      <c r="D30" s="866">
        <f>Haushalt!G191</f>
        <v>2000</v>
      </c>
      <c r="E30" s="867"/>
      <c r="F30" s="866">
        <f>Haushalt!I191</f>
        <v>1000</v>
      </c>
      <c r="G30" s="868" t="e">
        <f>Haushalt!#REF!</f>
        <v>#REF!</v>
      </c>
      <c r="H30" s="869">
        <v>5465.44</v>
      </c>
      <c r="I30" s="870">
        <v>1000</v>
      </c>
      <c r="J30" s="852">
        <v>0</v>
      </c>
      <c r="K30" s="852">
        <v>1000</v>
      </c>
      <c r="L30" s="853">
        <f>Haushalt!O$191</f>
        <v>0</v>
      </c>
      <c r="M30" s="853">
        <f>Haushalt!P$191</f>
        <v>0</v>
      </c>
      <c r="N30" s="853">
        <f>Haushalt!Q$191</f>
        <v>0</v>
      </c>
      <c r="O30" s="853">
        <f>Haushalt!R$191</f>
        <v>0</v>
      </c>
      <c r="P30" s="853">
        <f>Haushalt!S$191</f>
        <v>0</v>
      </c>
      <c r="Q30" s="853">
        <f>Haushalt!T$191</f>
        <v>0</v>
      </c>
      <c r="R30" s="853">
        <f>Haushalt!U$191</f>
        <v>0</v>
      </c>
      <c r="S30" s="853">
        <f>Haushalt!V$191</f>
        <v>0</v>
      </c>
      <c r="T30" s="853">
        <f>Haushalt!W$191</f>
        <v>0</v>
      </c>
      <c r="U30" s="853" t="e">
        <f>Haushalt!#REF!</f>
        <v>#REF!</v>
      </c>
      <c r="V30" s="853" t="e">
        <f>Haushalt!#REF!</f>
        <v>#REF!</v>
      </c>
      <c r="W30" s="853" t="e">
        <f>Haushalt!#REF!</f>
        <v>#REF!</v>
      </c>
      <c r="X30" s="20"/>
      <c r="Y30" s="20"/>
    </row>
    <row r="31" spans="1:25" outlineLevel="1">
      <c r="A31" s="865" t="s">
        <v>393</v>
      </c>
      <c r="B31" s="865" t="s">
        <v>974</v>
      </c>
      <c r="C31" s="864" t="s">
        <v>1133</v>
      </c>
      <c r="D31" s="866">
        <f>Haushalt!G197</f>
        <v>1100</v>
      </c>
      <c r="E31" s="867"/>
      <c r="F31" s="866">
        <f>Haushalt!I197</f>
        <v>500</v>
      </c>
      <c r="G31" s="868" t="e">
        <f>Haushalt!#REF!</f>
        <v>#REF!</v>
      </c>
      <c r="H31" s="869">
        <v>5465.44</v>
      </c>
      <c r="I31" s="870">
        <v>500</v>
      </c>
      <c r="J31" s="852">
        <v>0</v>
      </c>
      <c r="K31" s="852">
        <v>500</v>
      </c>
      <c r="L31" s="853">
        <f>Haushalt!O$197</f>
        <v>0</v>
      </c>
      <c r="M31" s="853">
        <f>Haushalt!P$197</f>
        <v>0</v>
      </c>
      <c r="N31" s="853">
        <f>Haushalt!Q$197</f>
        <v>0</v>
      </c>
      <c r="O31" s="853">
        <f>Haushalt!R$197</f>
        <v>0</v>
      </c>
      <c r="P31" s="853">
        <f>Haushalt!S$197</f>
        <v>0</v>
      </c>
      <c r="Q31" s="853">
        <f>Haushalt!T$197</f>
        <v>0</v>
      </c>
      <c r="R31" s="853">
        <f>Haushalt!U$197</f>
        <v>0</v>
      </c>
      <c r="S31" s="853">
        <f>Haushalt!V$197</f>
        <v>0</v>
      </c>
      <c r="T31" s="853">
        <f>Haushalt!W$197</f>
        <v>0</v>
      </c>
      <c r="U31" s="853" t="e">
        <f>Haushalt!#REF!</f>
        <v>#REF!</v>
      </c>
      <c r="V31" s="853" t="e">
        <f>Haushalt!#REF!</f>
        <v>#REF!</v>
      </c>
      <c r="W31" s="853" t="e">
        <f>Haushalt!#REF!</f>
        <v>#REF!</v>
      </c>
      <c r="X31" s="20"/>
      <c r="Y31" s="20"/>
    </row>
    <row r="32" spans="1:25" outlineLevel="1">
      <c r="A32" s="874" t="s">
        <v>400</v>
      </c>
      <c r="B32" s="875" t="s">
        <v>982</v>
      </c>
      <c r="C32" s="876" t="s">
        <v>399</v>
      </c>
      <c r="D32" s="877">
        <f>Haushalt!G203</f>
        <v>1500</v>
      </c>
      <c r="E32" s="878">
        <f>HHJ_2024_2025!H205</f>
        <v>0</v>
      </c>
      <c r="F32" s="877">
        <f>Haushalt!I203</f>
        <v>500</v>
      </c>
      <c r="G32" s="879" t="e">
        <f>Haushalt!#REF!</f>
        <v>#REF!</v>
      </c>
      <c r="H32" s="880">
        <v>41.13</v>
      </c>
      <c r="I32" s="881">
        <v>1500</v>
      </c>
      <c r="J32" s="852">
        <v>642.6</v>
      </c>
      <c r="K32" s="852">
        <v>1500</v>
      </c>
      <c r="L32" s="853">
        <f>Haushalt!O$203</f>
        <v>0</v>
      </c>
      <c r="M32" s="853">
        <f>Haushalt!P$203</f>
        <v>0</v>
      </c>
      <c r="N32" s="853">
        <f>Haushalt!Q$203</f>
        <v>0</v>
      </c>
      <c r="O32" s="853">
        <f>Haushalt!R$203</f>
        <v>0</v>
      </c>
      <c r="P32" s="853">
        <f>Haushalt!S$203</f>
        <v>0</v>
      </c>
      <c r="Q32" s="853">
        <f>Haushalt!T$203</f>
        <v>0</v>
      </c>
      <c r="R32" s="853">
        <f>Haushalt!U$203</f>
        <v>0</v>
      </c>
      <c r="S32" s="853">
        <f>Haushalt!V$203</f>
        <v>0</v>
      </c>
      <c r="T32" s="853">
        <f>Haushalt!W$203</f>
        <v>0</v>
      </c>
      <c r="U32" s="853" t="e">
        <f>Haushalt!#REF!</f>
        <v>#REF!</v>
      </c>
      <c r="V32" s="853" t="e">
        <f>Haushalt!#REF!</f>
        <v>#REF!</v>
      </c>
      <c r="W32" s="853" t="e">
        <f>Haushalt!#REF!</f>
        <v>#REF!</v>
      </c>
      <c r="X32" s="20"/>
      <c r="Y32" s="20"/>
    </row>
    <row r="33" spans="1:25" outlineLevel="1">
      <c r="A33" s="874" t="s">
        <v>412</v>
      </c>
      <c r="B33" s="874" t="s">
        <v>413</v>
      </c>
      <c r="C33" s="876" t="s">
        <v>1134</v>
      </c>
      <c r="D33" s="877">
        <f>Haushalt!G209</f>
        <v>3000</v>
      </c>
      <c r="E33" s="878">
        <f>HHJ_2024_2025!H204</f>
        <v>0</v>
      </c>
      <c r="F33" s="877">
        <f>Haushalt!I209</f>
        <v>500</v>
      </c>
      <c r="G33" s="879" t="e">
        <f>Haushalt!#REF!</f>
        <v>#REF!</v>
      </c>
      <c r="H33" s="880">
        <v>0</v>
      </c>
      <c r="I33" s="881">
        <v>500</v>
      </c>
      <c r="J33" s="852">
        <v>0</v>
      </c>
      <c r="K33" s="852">
        <v>500</v>
      </c>
      <c r="L33" s="853">
        <f>Haushalt!O$209</f>
        <v>0</v>
      </c>
      <c r="M33" s="853">
        <f>Haushalt!P$209</f>
        <v>0</v>
      </c>
      <c r="N33" s="853">
        <f>Haushalt!Q$209</f>
        <v>0</v>
      </c>
      <c r="O33" s="853">
        <f>Haushalt!R$209</f>
        <v>0</v>
      </c>
      <c r="P33" s="853">
        <f>Haushalt!S$209</f>
        <v>0</v>
      </c>
      <c r="Q33" s="853">
        <f>Haushalt!T$209</f>
        <v>0</v>
      </c>
      <c r="R33" s="853">
        <f>Haushalt!U$209</f>
        <v>0</v>
      </c>
      <c r="S33" s="853">
        <f>Haushalt!V$209</f>
        <v>0</v>
      </c>
      <c r="T33" s="853">
        <f>Haushalt!W$209</f>
        <v>0</v>
      </c>
      <c r="U33" s="853" t="e">
        <f>Haushalt!#REF!</f>
        <v>#REF!</v>
      </c>
      <c r="V33" s="853" t="e">
        <f>Haushalt!#REF!</f>
        <v>#REF!</v>
      </c>
      <c r="W33" s="853" t="e">
        <f>Haushalt!#REF!</f>
        <v>#REF!</v>
      </c>
      <c r="X33" s="20"/>
      <c r="Y33" s="20"/>
    </row>
    <row r="34" spans="1:25" outlineLevel="1">
      <c r="A34" s="874" t="s">
        <v>424</v>
      </c>
      <c r="B34" s="874" t="s">
        <v>984</v>
      </c>
      <c r="C34" s="876" t="s">
        <v>1135</v>
      </c>
      <c r="D34" s="877">
        <f>Haushalt!G215</f>
        <v>4000</v>
      </c>
      <c r="E34" s="878">
        <f>HHJ_2024_2025!H206</f>
        <v>2413.98</v>
      </c>
      <c r="F34" s="877">
        <f>Haushalt!I215</f>
        <v>3500</v>
      </c>
      <c r="G34" s="879" t="e">
        <f>Haushalt!#REF!</f>
        <v>#REF!</v>
      </c>
      <c r="H34" s="880">
        <v>240.67</v>
      </c>
      <c r="I34" s="881">
        <v>5000</v>
      </c>
      <c r="J34" s="852">
        <v>228</v>
      </c>
      <c r="K34" s="852">
        <v>5000</v>
      </c>
      <c r="L34" s="853">
        <f>Haushalt!O$215</f>
        <v>0</v>
      </c>
      <c r="M34" s="853">
        <f>Haushalt!P$215</f>
        <v>0</v>
      </c>
      <c r="N34" s="853">
        <f>Haushalt!Q$215</f>
        <v>0</v>
      </c>
      <c r="O34" s="853">
        <f>Haushalt!R$215</f>
        <v>0</v>
      </c>
      <c r="P34" s="853">
        <f>Haushalt!S$215</f>
        <v>0</v>
      </c>
      <c r="Q34" s="853">
        <f>Haushalt!T$215</f>
        <v>0</v>
      </c>
      <c r="R34" s="853">
        <f>Haushalt!U$215</f>
        <v>0</v>
      </c>
      <c r="S34" s="853">
        <f>Haushalt!V$215</f>
        <v>0</v>
      </c>
      <c r="T34" s="853">
        <f>Haushalt!W$215</f>
        <v>0</v>
      </c>
      <c r="U34" s="853" t="e">
        <f>Haushalt!#REF!</f>
        <v>#REF!</v>
      </c>
      <c r="V34" s="853" t="e">
        <f>Haushalt!#REF!</f>
        <v>#REF!</v>
      </c>
      <c r="W34" s="853" t="e">
        <f>Haushalt!#REF!</f>
        <v>#REF!</v>
      </c>
      <c r="X34" s="20"/>
      <c r="Y34" s="20"/>
    </row>
    <row r="35" spans="1:25" outlineLevel="1">
      <c r="A35" s="874" t="s">
        <v>436</v>
      </c>
      <c r="B35" s="874" t="s">
        <v>984</v>
      </c>
      <c r="C35" s="882" t="s">
        <v>1136</v>
      </c>
      <c r="D35" s="877">
        <f>Haushalt!G221</f>
        <v>3400</v>
      </c>
      <c r="E35" s="878"/>
      <c r="F35" s="877">
        <f>Haushalt!I221</f>
        <v>2500</v>
      </c>
      <c r="G35" s="879" t="e">
        <f>Haushalt!#REF!</f>
        <v>#REF!</v>
      </c>
      <c r="H35" s="880">
        <v>2166.06</v>
      </c>
      <c r="I35" s="881">
        <v>2000</v>
      </c>
      <c r="J35" s="852">
        <v>1652.53</v>
      </c>
      <c r="K35" s="852">
        <v>3150</v>
      </c>
      <c r="L35" s="853">
        <f>Haushalt!O$221</f>
        <v>99</v>
      </c>
      <c r="M35" s="853">
        <f>Haushalt!P$221</f>
        <v>368</v>
      </c>
      <c r="N35" s="853">
        <f>Haushalt!Q$221</f>
        <v>467</v>
      </c>
      <c r="O35" s="853">
        <f>Haushalt!R$221</f>
        <v>566</v>
      </c>
      <c r="P35" s="853">
        <f>Haushalt!S$221</f>
        <v>1252.8699999999999</v>
      </c>
      <c r="Q35" s="853">
        <f>Haushalt!T$221</f>
        <v>1597.2</v>
      </c>
      <c r="R35" s="853">
        <f>Haushalt!U$221</f>
        <v>1781.2</v>
      </c>
      <c r="S35" s="853">
        <f>Haushalt!V$221</f>
        <v>1880.2</v>
      </c>
      <c r="T35" s="853">
        <f>Haushalt!W$221</f>
        <v>1979.2</v>
      </c>
      <c r="U35" s="853" t="e">
        <f>Haushalt!#REF!</f>
        <v>#REF!</v>
      </c>
      <c r="V35" s="853" t="e">
        <f>Haushalt!#REF!</f>
        <v>#REF!</v>
      </c>
      <c r="W35" s="853" t="e">
        <f>Haushalt!#REF!</f>
        <v>#REF!</v>
      </c>
      <c r="X35" s="20"/>
      <c r="Y35" s="20"/>
    </row>
    <row r="36" spans="1:25" ht="15" outlineLevel="1" thickBot="1">
      <c r="A36" s="874" t="s">
        <v>464</v>
      </c>
      <c r="B36" s="874" t="s">
        <v>987</v>
      </c>
      <c r="C36" s="883" t="s">
        <v>1137</v>
      </c>
      <c r="D36" s="226">
        <f>Haushalt!G235/5</f>
        <v>584</v>
      </c>
      <c r="E36" s="878">
        <f>HHJ_2024_2025!H207</f>
        <v>0</v>
      </c>
      <c r="F36" s="226">
        <f>Haushalt!I235/5</f>
        <v>490</v>
      </c>
      <c r="G36" s="354" t="e">
        <f>Haushalt!#REF!/5</f>
        <v>#REF!</v>
      </c>
      <c r="H36" s="884">
        <v>0</v>
      </c>
      <c r="I36" s="885">
        <f>1000/5</f>
        <v>200</v>
      </c>
      <c r="J36" s="386">
        <v>0</v>
      </c>
      <c r="K36" s="862">
        <v>0</v>
      </c>
      <c r="L36" s="853">
        <f>Haushalt!O$235/5</f>
        <v>0</v>
      </c>
      <c r="M36" s="853">
        <f>Haushalt!P$235/5</f>
        <v>0</v>
      </c>
      <c r="N36" s="853">
        <f>Haushalt!Q$235/5</f>
        <v>0</v>
      </c>
      <c r="O36" s="853">
        <f>Haushalt!R$235/5</f>
        <v>0</v>
      </c>
      <c r="P36" s="853">
        <f>Haushalt!S$235/5</f>
        <v>0</v>
      </c>
      <c r="Q36" s="853">
        <f>Haushalt!T$235/5</f>
        <v>0</v>
      </c>
      <c r="R36" s="853">
        <f>Haushalt!U$235/5</f>
        <v>0</v>
      </c>
      <c r="S36" s="853">
        <f>Haushalt!V$235/5</f>
        <v>0</v>
      </c>
      <c r="T36" s="853">
        <f>Haushalt!W$235/5</f>
        <v>0</v>
      </c>
      <c r="U36" s="853" t="e">
        <f>Haushalt!#REF!/5</f>
        <v>#REF!</v>
      </c>
      <c r="V36" s="853" t="e">
        <f>Haushalt!#REF!/5</f>
        <v>#REF!</v>
      </c>
      <c r="W36" s="853" t="e">
        <f>Haushalt!#REF!/5</f>
        <v>#REF!</v>
      </c>
      <c r="X36" s="20"/>
      <c r="Y36" s="20"/>
    </row>
    <row r="37" spans="1:25">
      <c r="A37" s="209"/>
      <c r="B37" s="210"/>
      <c r="C37" s="209" t="s">
        <v>1079</v>
      </c>
      <c r="D37" s="326">
        <f t="shared" ref="D37:E37" si="3">SUM(D24:D36)</f>
        <v>99584</v>
      </c>
      <c r="E37" s="269">
        <f t="shared" si="3"/>
        <v>54519.21</v>
      </c>
      <c r="F37" s="362">
        <f>SUM(F24:F36)</f>
        <v>87190</v>
      </c>
      <c r="G37" s="362" t="e">
        <f>SUM(G24:G36)</f>
        <v>#REF!</v>
      </c>
      <c r="H37" s="212">
        <f>SUM(H24:H36)</f>
        <v>67185.100000000006</v>
      </c>
      <c r="I37" s="362">
        <f>SUM(I24:I36)</f>
        <v>94050</v>
      </c>
      <c r="J37" s="388">
        <v>67444.600000000006</v>
      </c>
      <c r="K37" s="396">
        <f>SUM(K24:K36)</f>
        <v>95000</v>
      </c>
      <c r="L37" s="324">
        <f t="shared" ref="L37:U37" si="4">L24+L25+L26+L27+L28+L29+L32+L33+L34+L35+L36</f>
        <v>689.31999999999994</v>
      </c>
      <c r="M37" s="314">
        <f t="shared" si="4"/>
        <v>3673.58</v>
      </c>
      <c r="N37" s="314">
        <f t="shared" si="4"/>
        <v>4911.9800000000005</v>
      </c>
      <c r="O37" s="314">
        <f t="shared" si="4"/>
        <v>6123.78</v>
      </c>
      <c r="P37" s="314">
        <f t="shared" ref="P37" si="5">P24+P25+P26+P27+P28+P29+P32+P33+P34+P35+P36</f>
        <v>12307.470000000001</v>
      </c>
      <c r="Q37" s="314">
        <f t="shared" si="4"/>
        <v>20231.12</v>
      </c>
      <c r="R37" s="314">
        <f t="shared" si="4"/>
        <v>25950.99</v>
      </c>
      <c r="S37" s="314">
        <f t="shared" si="4"/>
        <v>27971.74</v>
      </c>
      <c r="T37" s="314">
        <f t="shared" si="4"/>
        <v>28890.460000000003</v>
      </c>
      <c r="U37" s="314" t="e">
        <f t="shared" si="4"/>
        <v>#REF!</v>
      </c>
      <c r="V37" s="314" t="e">
        <f t="shared" ref="V37:W37" si="6">V24+V25+V26+V27+V28+V29+V32+V33+V34+V35+V36</f>
        <v>#REF!</v>
      </c>
      <c r="W37" s="306" t="e">
        <f t="shared" si="6"/>
        <v>#REF!</v>
      </c>
      <c r="X37" s="20"/>
      <c r="Y37" s="20"/>
    </row>
    <row r="38" spans="1:25" ht="15" thickBot="1">
      <c r="A38" s="214"/>
      <c r="B38" s="215"/>
      <c r="C38" s="214" t="s">
        <v>1138</v>
      </c>
      <c r="D38" s="327">
        <f>SUM(D6+D7+D8)-D37</f>
        <v>-43203</v>
      </c>
      <c r="E38" s="217">
        <f t="shared" ref="E38:U38" si="7">E6-E37</f>
        <v>-16863.839999999997</v>
      </c>
      <c r="F38" s="363">
        <f>SUM(F6+F7+F8)-F37</f>
        <v>-41040</v>
      </c>
      <c r="G38" s="363" t="e">
        <f>SUM(G6+G7+G8)-G37</f>
        <v>#REF!</v>
      </c>
      <c r="H38" s="217">
        <f>SUM(H6+H7+H8)-H37</f>
        <v>-22735.760000000009</v>
      </c>
      <c r="I38" s="363">
        <f>SUM(I6+I7+I8)-I37</f>
        <v>-46050</v>
      </c>
      <c r="J38" s="395">
        <v>-21484.630000000005</v>
      </c>
      <c r="K38" s="397">
        <f>SUM(K6+K7+K8)-K37</f>
        <v>-50000</v>
      </c>
      <c r="L38" s="325">
        <f t="shared" si="7"/>
        <v>-240.21999999999991</v>
      </c>
      <c r="M38" s="315">
        <f t="shared" ref="M38" si="8">M6-M37</f>
        <v>-3224.48</v>
      </c>
      <c r="N38" s="315">
        <f t="shared" si="7"/>
        <v>-4412.9800000000005</v>
      </c>
      <c r="O38" s="315">
        <f t="shared" si="7"/>
        <v>7948.11</v>
      </c>
      <c r="P38" s="315">
        <f t="shared" ref="P38" si="9">P6-P37</f>
        <v>9050.0099999999984</v>
      </c>
      <c r="Q38" s="315">
        <f t="shared" si="7"/>
        <v>1076.3600000000006</v>
      </c>
      <c r="R38" s="315">
        <f t="shared" si="7"/>
        <v>-4643.510000000002</v>
      </c>
      <c r="S38" s="315">
        <f t="shared" si="7"/>
        <v>-6664.260000000002</v>
      </c>
      <c r="T38" s="315">
        <f t="shared" si="7"/>
        <v>-7582.9800000000032</v>
      </c>
      <c r="U38" s="315" t="e">
        <f t="shared" si="7"/>
        <v>#REF!</v>
      </c>
      <c r="V38" s="315" t="e">
        <f t="shared" ref="V38:W38" si="10">V6-V37</f>
        <v>#REF!</v>
      </c>
      <c r="W38" s="307" t="e">
        <f t="shared" si="10"/>
        <v>#REF!</v>
      </c>
      <c r="X38" s="20"/>
      <c r="Y38" s="20"/>
    </row>
    <row r="39" spans="1:25">
      <c r="A39" s="219"/>
      <c r="B39" s="219"/>
      <c r="C39" s="219"/>
      <c r="D39" s="245"/>
      <c r="E39" s="245"/>
      <c r="F39" s="245"/>
      <c r="G39" s="245"/>
      <c r="H39" s="245"/>
      <c r="I39" s="245"/>
      <c r="J39" s="389"/>
      <c r="K39" s="389"/>
      <c r="L39" s="246"/>
      <c r="M39" s="246"/>
      <c r="N39" s="246"/>
      <c r="O39" s="246"/>
      <c r="P39" s="246"/>
      <c r="Q39" s="246"/>
      <c r="R39" s="246"/>
      <c r="S39" s="246"/>
      <c r="T39" s="246"/>
      <c r="U39" s="246"/>
      <c r="V39" s="246"/>
      <c r="W39" s="246"/>
      <c r="X39" s="20"/>
      <c r="Y39" s="20"/>
    </row>
    <row r="40" spans="1:25">
      <c r="A40" s="219"/>
      <c r="B40" s="219"/>
      <c r="C40" s="219"/>
      <c r="D40" s="245"/>
      <c r="E40" s="245"/>
      <c r="F40" s="245"/>
      <c r="G40" s="245"/>
      <c r="H40" s="245"/>
      <c r="I40" s="245"/>
      <c r="J40" s="389"/>
      <c r="K40" s="389"/>
      <c r="L40" s="246"/>
      <c r="M40" s="246"/>
      <c r="N40" s="246"/>
      <c r="O40" s="246"/>
      <c r="P40" s="246"/>
      <c r="Q40" s="246"/>
      <c r="R40" s="246"/>
      <c r="S40" s="246"/>
      <c r="T40" s="246"/>
      <c r="U40" s="246"/>
      <c r="V40" s="246"/>
      <c r="W40" s="246"/>
      <c r="X40" s="20"/>
      <c r="Y40" s="20"/>
    </row>
    <row r="41" spans="1:25" ht="15" thickBot="1">
      <c r="A41" s="219"/>
      <c r="B41" s="219"/>
      <c r="C41" s="219"/>
      <c r="D41" s="83"/>
      <c r="E41" s="83"/>
      <c r="F41" s="83"/>
      <c r="G41" s="83"/>
      <c r="H41" s="83"/>
      <c r="I41" s="83"/>
      <c r="J41" s="94"/>
      <c r="K41" s="94"/>
      <c r="L41" s="96"/>
      <c r="M41" s="96"/>
      <c r="N41" s="96"/>
      <c r="O41" s="96"/>
      <c r="P41" s="96"/>
      <c r="Q41" s="96"/>
      <c r="R41" s="96"/>
      <c r="S41" s="96"/>
      <c r="T41" s="96"/>
      <c r="U41" s="96"/>
      <c r="V41" s="96"/>
      <c r="W41" s="96"/>
      <c r="X41" s="20"/>
      <c r="Y41" s="20"/>
    </row>
    <row r="42" spans="1:25" ht="15" thickBot="1">
      <c r="A42" s="238" t="s">
        <v>989</v>
      </c>
      <c r="B42" s="239"/>
      <c r="C42" s="243" t="s">
        <v>990</v>
      </c>
      <c r="D42" s="83"/>
      <c r="E42" s="101"/>
      <c r="F42" s="83"/>
      <c r="G42" s="83"/>
      <c r="H42" s="83"/>
      <c r="I42" s="83"/>
      <c r="J42" s="94"/>
      <c r="K42" s="94"/>
      <c r="L42" s="96"/>
      <c r="M42" s="96"/>
      <c r="N42" s="96"/>
      <c r="O42" s="96"/>
      <c r="P42" s="96"/>
      <c r="Q42" s="96"/>
      <c r="R42" s="96"/>
      <c r="S42" s="96"/>
      <c r="T42" s="96"/>
      <c r="U42" s="90"/>
      <c r="V42" s="90"/>
      <c r="W42" s="96"/>
      <c r="X42" s="20"/>
      <c r="Y42" s="20"/>
    </row>
    <row r="43" spans="1:25" outlineLevel="1">
      <c r="A43" s="863" t="s">
        <v>157</v>
      </c>
      <c r="B43" s="863" t="s">
        <v>991</v>
      </c>
      <c r="C43" s="864" t="s">
        <v>1127</v>
      </c>
      <c r="D43" s="225">
        <f>800*12</f>
        <v>9600</v>
      </c>
      <c r="E43" s="268">
        <v>8530</v>
      </c>
      <c r="F43" s="225">
        <f>800*12</f>
        <v>9600</v>
      </c>
      <c r="G43" s="353">
        <f>800*12</f>
        <v>9600</v>
      </c>
      <c r="H43" s="357">
        <v>9575</v>
      </c>
      <c r="I43" s="356">
        <v>9600</v>
      </c>
      <c r="J43" s="385">
        <v>9300</v>
      </c>
      <c r="K43" s="385">
        <v>9600</v>
      </c>
      <c r="L43" s="298">
        <f>AE_Zuweisung_Fachschaften!E$18</f>
        <v>0</v>
      </c>
      <c r="M43" s="298">
        <f>AE_Zuweisung_Fachschaften!E18+AE_Zuweisung_Fachschaften!F18</f>
        <v>0</v>
      </c>
      <c r="N43" s="297">
        <f>AE_Zuweisung_Fachschaften!E18+AE_Zuweisung_Fachschaften!F18+AE_Zuweisung_Fachschaften!G18</f>
        <v>0</v>
      </c>
      <c r="O43" s="297">
        <f>AE_Zuweisung_Fachschaften!E18+AE_Zuweisung_Fachschaften!F18+AE_Zuweisung_Fachschaften!G18+AE_Zuweisung_Fachschaften!H18</f>
        <v>0</v>
      </c>
      <c r="P43" s="297">
        <f>AE_Zuweisung_Fachschaften!E18+AE_Zuweisung_Fachschaften!F18+AE_Zuweisung_Fachschaften!G18+AE_Zuweisung_Fachschaften!H18+AE_Zuweisung_Fachschaften!I18</f>
        <v>0</v>
      </c>
      <c r="Q43" s="297">
        <f>AE_Zuweisung_Fachschaften!E18+AE_Zuweisung_Fachschaften!F18+AE_Zuweisung_Fachschaften!G18+AE_Zuweisung_Fachschaften!H18+AE_Zuweisung_Fachschaften!I18+AE_Zuweisung_Fachschaften!J18</f>
        <v>0</v>
      </c>
      <c r="R43" s="297">
        <f>AE_Zuweisung_Fachschaften!E18+AE_Zuweisung_Fachschaften!F18+AE_Zuweisung_Fachschaften!G18+AE_Zuweisung_Fachschaften!H18+AE_Zuweisung_Fachschaften!I18+AE_Zuweisung_Fachschaften!J18+AE_Zuweisung_Fachschaften!K18</f>
        <v>0</v>
      </c>
      <c r="S43" s="297">
        <f>AE_Zuweisung_Fachschaften!E18+AE_Zuweisung_Fachschaften!F18+AE_Zuweisung_Fachschaften!G18+AE_Zuweisung_Fachschaften!H18+AE_Zuweisung_Fachschaften!I18+AE_Zuweisung_Fachschaften!J18+AE_Zuweisung_Fachschaften!K18+AE_Zuweisung_Fachschaften!L18</f>
        <v>0</v>
      </c>
      <c r="T43" s="297">
        <f>AE_Zuweisung_Fachschaften!E18+AE_Zuweisung_Fachschaften!F18+AE_Zuweisung_Fachschaften!G18+AE_Zuweisung_Fachschaften!H18+AE_Zuweisung_Fachschaften!I18+AE_Zuweisung_Fachschaften!J18+AE_Zuweisung_Fachschaften!K18+AE_Zuweisung_Fachschaften!L18+AE_Zuweisung_Fachschaften!M18</f>
        <v>0</v>
      </c>
      <c r="U43" s="297">
        <f>AE_Zuweisung_Fachschaften!E18+AE_Zuweisung_Fachschaften!F18+AE_Zuweisung_Fachschaften!G18+AE_Zuweisung_Fachschaften!H18+AE_Zuweisung_Fachschaften!I18+AE_Zuweisung_Fachschaften!J18+AE_Zuweisung_Fachschaften!K18+AE_Zuweisung_Fachschaften!L18+AE_Zuweisung_Fachschaften!M18+AE_Zuweisung_Fachschaften!N18</f>
        <v>0</v>
      </c>
      <c r="V43" s="297">
        <f>AE_Zuweisung_Fachschaften!E18+AE_Zuweisung_Fachschaften!F18+AE_Zuweisung_Fachschaften!G18+AE_Zuweisung_Fachschaften!H18+AE_Zuweisung_Fachschaften!I18+AE_Zuweisung_Fachschaften!J18+AE_Zuweisung_Fachschaften!K18+AE_Zuweisung_Fachschaften!L18+AE_Zuweisung_Fachschaften!M18+AE_Zuweisung_Fachschaften!N18+AE_Zuweisung_Fachschaften!O18</f>
        <v>0</v>
      </c>
      <c r="W43" s="297">
        <f>AE_Zuweisung_Fachschaften!E18+AE_Zuweisung_Fachschaften!F18+AE_Zuweisung_Fachschaften!G18+AE_Zuweisung_Fachschaften!H18+AE_Zuweisung_Fachschaften!I18+AE_Zuweisung_Fachschaften!J18+AE_Zuweisung_Fachschaften!K18+AE_Zuweisung_Fachschaften!L18+AE_Zuweisung_Fachschaften!M18+AE_Zuweisung_Fachschaften!N18+AE_Zuweisung_Fachschaften!O18+AE_Zuweisung_Fachschaften!P18</f>
        <v>0</v>
      </c>
      <c r="X43" s="20"/>
      <c r="Y43" s="20"/>
    </row>
    <row r="44" spans="1:25" outlineLevel="1">
      <c r="A44" s="865" t="s">
        <v>165</v>
      </c>
      <c r="B44" s="865" t="s">
        <v>991</v>
      </c>
      <c r="C44" s="864" t="s">
        <v>1128</v>
      </c>
      <c r="D44" s="866">
        <f>Haushalt!G90</f>
        <v>5270</v>
      </c>
      <c r="E44" s="867">
        <f>HHJ_2024_2025!H209-E43</f>
        <v>540</v>
      </c>
      <c r="F44" s="866">
        <f>Haushalt!I90</f>
        <v>5270</v>
      </c>
      <c r="G44" s="868" t="e">
        <f>Haushalt!#REF!</f>
        <v>#REF!</v>
      </c>
      <c r="H44" s="869">
        <v>180</v>
      </c>
      <c r="I44" s="870">
        <v>2000</v>
      </c>
      <c r="J44" s="886">
        <v>380</v>
      </c>
      <c r="K44" s="852">
        <v>2000</v>
      </c>
      <c r="L44" s="853">
        <f>Haushalt!O90</f>
        <v>20</v>
      </c>
      <c r="M44" s="853">
        <f>Haushalt!P90</f>
        <v>20</v>
      </c>
      <c r="N44" s="853">
        <f>Haushalt!Q90</f>
        <v>75</v>
      </c>
      <c r="O44" s="853">
        <f>Haushalt!R90</f>
        <v>75</v>
      </c>
      <c r="P44" s="853">
        <f>Haushalt!S90</f>
        <v>75</v>
      </c>
      <c r="Q44" s="853">
        <f>Haushalt!T90</f>
        <v>135</v>
      </c>
      <c r="R44" s="853">
        <f>Haushalt!U90</f>
        <v>135</v>
      </c>
      <c r="S44" s="853">
        <f>Haushalt!V90</f>
        <v>135</v>
      </c>
      <c r="T44" s="853">
        <f>Haushalt!W90</f>
        <v>175</v>
      </c>
      <c r="U44" s="853"/>
      <c r="V44" s="853"/>
      <c r="W44" s="853"/>
      <c r="X44" s="20"/>
      <c r="Y44" s="20"/>
    </row>
    <row r="45" spans="1:25" outlineLevel="1">
      <c r="A45" s="865" t="s">
        <v>277</v>
      </c>
      <c r="B45" s="865" t="s">
        <v>278</v>
      </c>
      <c r="C45" s="871" t="s">
        <v>1129</v>
      </c>
      <c r="D45" s="866">
        <f>Haushalt!G138</f>
        <v>3570</v>
      </c>
      <c r="E45" s="867">
        <f>HHJ_2024_2025!H210</f>
        <v>995.33</v>
      </c>
      <c r="F45" s="866">
        <f>Haushalt!I138</f>
        <v>6000</v>
      </c>
      <c r="G45" s="868" t="e">
        <f>Haushalt!#REF!</f>
        <v>#REF!</v>
      </c>
      <c r="H45" s="869">
        <v>130.43</v>
      </c>
      <c r="I45" s="870">
        <v>2000</v>
      </c>
      <c r="J45" s="886">
        <v>281.26</v>
      </c>
      <c r="K45" s="852">
        <v>2000</v>
      </c>
      <c r="L45" s="853">
        <f>Haushalt!O$138</f>
        <v>0</v>
      </c>
      <c r="M45" s="853">
        <f>Haushalt!P$138</f>
        <v>0</v>
      </c>
      <c r="N45" s="853">
        <f>Haushalt!Q$138</f>
        <v>12</v>
      </c>
      <c r="O45" s="853">
        <f>Haushalt!R$138</f>
        <v>12</v>
      </c>
      <c r="P45" s="853">
        <f>Haushalt!S$138</f>
        <v>12</v>
      </c>
      <c r="Q45" s="853">
        <f>Haushalt!T$138</f>
        <v>63</v>
      </c>
      <c r="R45" s="853">
        <f>Haushalt!U$138</f>
        <v>63</v>
      </c>
      <c r="S45" s="853">
        <f>Haushalt!V$138</f>
        <v>63</v>
      </c>
      <c r="T45" s="853">
        <f>Haushalt!W$138</f>
        <v>91.8</v>
      </c>
      <c r="U45" s="853" t="e">
        <f>Haushalt!#REF!</f>
        <v>#REF!</v>
      </c>
      <c r="V45" s="853" t="e">
        <f>Haushalt!#REF!</f>
        <v>#REF!</v>
      </c>
      <c r="W45" s="853" t="e">
        <f>Haushalt!#REF!</f>
        <v>#REF!</v>
      </c>
      <c r="X45" s="20"/>
      <c r="Y45" s="20"/>
    </row>
    <row r="46" spans="1:25" outlineLevel="1">
      <c r="A46" s="865" t="s">
        <v>302</v>
      </c>
      <c r="B46" s="865" t="s">
        <v>303</v>
      </c>
      <c r="C46" s="864" t="s">
        <v>1130</v>
      </c>
      <c r="D46" s="866">
        <f>Haushalt!G150</f>
        <v>2670</v>
      </c>
      <c r="E46" s="867">
        <f>HHJ_2024_2025!H212</f>
        <v>320</v>
      </c>
      <c r="F46" s="866">
        <f>Haushalt!I150</f>
        <v>2670</v>
      </c>
      <c r="G46" s="868" t="e">
        <f>Haushalt!#REF!</f>
        <v>#REF!</v>
      </c>
      <c r="H46" s="869">
        <v>461.4</v>
      </c>
      <c r="I46" s="870">
        <v>1500</v>
      </c>
      <c r="J46" s="886">
        <v>2613.3200000000002</v>
      </c>
      <c r="K46" s="852">
        <v>1500</v>
      </c>
      <c r="L46" s="853">
        <f>Haushalt!O$150</f>
        <v>531.31999999999994</v>
      </c>
      <c r="M46" s="853">
        <f>Haushalt!P$150</f>
        <v>665.64</v>
      </c>
      <c r="N46" s="853">
        <f>Haushalt!Q$150</f>
        <v>799.96</v>
      </c>
      <c r="O46" s="853">
        <f>Haushalt!R$150</f>
        <v>934.28</v>
      </c>
      <c r="P46" s="853">
        <f>Haushalt!S$150</f>
        <v>1068.5999999999999</v>
      </c>
      <c r="Q46" s="853">
        <f>Haushalt!T$150</f>
        <v>1202.92</v>
      </c>
      <c r="R46" s="853">
        <f>Haushalt!U$150</f>
        <v>1202.92</v>
      </c>
      <c r="S46" s="853">
        <f>Haushalt!V$150</f>
        <v>1202.92</v>
      </c>
      <c r="T46" s="853">
        <f>Haushalt!W$150</f>
        <v>1202.92</v>
      </c>
      <c r="U46" s="853" t="e">
        <f>Haushalt!#REF!</f>
        <v>#REF!</v>
      </c>
      <c r="V46" s="853" t="e">
        <f>Haushalt!#REF!</f>
        <v>#REF!</v>
      </c>
      <c r="W46" s="853" t="e">
        <f>Haushalt!#REF!</f>
        <v>#REF!</v>
      </c>
      <c r="X46" s="20"/>
      <c r="Y46" s="20"/>
    </row>
    <row r="47" spans="1:25" outlineLevel="1">
      <c r="A47" s="865" t="s">
        <v>327</v>
      </c>
      <c r="B47" s="865" t="s">
        <v>328</v>
      </c>
      <c r="C47" s="872" t="s">
        <v>1131</v>
      </c>
      <c r="D47" s="866">
        <f>Haushalt!G162</f>
        <v>1200</v>
      </c>
      <c r="E47" s="867">
        <f>HHJ_2024_2025!H213</f>
        <v>0</v>
      </c>
      <c r="F47" s="866">
        <f>Haushalt!I162</f>
        <v>1200</v>
      </c>
      <c r="G47" s="868" t="e">
        <f>Haushalt!#REF!</f>
        <v>#REF!</v>
      </c>
      <c r="H47" s="869">
        <v>0</v>
      </c>
      <c r="I47" s="870">
        <v>500</v>
      </c>
      <c r="J47" s="886">
        <v>1999.51</v>
      </c>
      <c r="K47" s="852">
        <v>500</v>
      </c>
      <c r="L47" s="853">
        <f>Haushalt!O$162</f>
        <v>0</v>
      </c>
      <c r="M47" s="853">
        <f>Haushalt!P$162</f>
        <v>0</v>
      </c>
      <c r="N47" s="853">
        <f>Haushalt!Q$162</f>
        <v>0</v>
      </c>
      <c r="O47" s="853">
        <f>Haushalt!R$162</f>
        <v>0</v>
      </c>
      <c r="P47" s="853">
        <f>Haushalt!S$162</f>
        <v>0</v>
      </c>
      <c r="Q47" s="853">
        <f>Haushalt!T$162</f>
        <v>0</v>
      </c>
      <c r="R47" s="853">
        <f>Haushalt!U$162</f>
        <v>0</v>
      </c>
      <c r="S47" s="853">
        <f>Haushalt!V$162</f>
        <v>0</v>
      </c>
      <c r="T47" s="853">
        <f>Haushalt!W$162</f>
        <v>0</v>
      </c>
      <c r="U47" s="853" t="e">
        <f>Haushalt!#REF!</f>
        <v>#REF!</v>
      </c>
      <c r="V47" s="853" t="e">
        <f>Haushalt!#REF!</f>
        <v>#REF!</v>
      </c>
      <c r="W47" s="853" t="e">
        <f>Haushalt!#REF!</f>
        <v>#REF!</v>
      </c>
      <c r="X47" s="20"/>
      <c r="Y47" s="20"/>
    </row>
    <row r="48" spans="1:25" outlineLevel="1">
      <c r="A48" s="865" t="s">
        <v>373</v>
      </c>
      <c r="B48" s="865" t="s">
        <v>995</v>
      </c>
      <c r="C48" s="873" t="s">
        <v>1132</v>
      </c>
      <c r="D48" s="866">
        <f>Haushalt!G186</f>
        <v>8510</v>
      </c>
      <c r="E48" s="867">
        <f>HHJ_2024_2025!H211</f>
        <v>2910</v>
      </c>
      <c r="F48" s="866">
        <f>Haushalt!I186</f>
        <v>8510</v>
      </c>
      <c r="G48" s="868" t="e">
        <f>Haushalt!#REF!</f>
        <v>#REF!</v>
      </c>
      <c r="H48" s="869">
        <v>2310</v>
      </c>
      <c r="I48" s="870">
        <v>4000</v>
      </c>
      <c r="J48" s="886">
        <v>990</v>
      </c>
      <c r="K48" s="852">
        <v>4000</v>
      </c>
      <c r="L48" s="853">
        <f>Haushalt!O$186</f>
        <v>0</v>
      </c>
      <c r="M48" s="853">
        <f>Haushalt!P$186</f>
        <v>0</v>
      </c>
      <c r="N48" s="853">
        <f>Haushalt!Q$186</f>
        <v>0</v>
      </c>
      <c r="O48" s="853">
        <f>Haushalt!R$186</f>
        <v>0</v>
      </c>
      <c r="P48" s="853">
        <f>Haushalt!S$186</f>
        <v>0</v>
      </c>
      <c r="Q48" s="853">
        <f>Haushalt!T$186</f>
        <v>0</v>
      </c>
      <c r="R48" s="853">
        <f>Haushalt!U$186</f>
        <v>0</v>
      </c>
      <c r="S48" s="853">
        <f>Haushalt!V$186</f>
        <v>0</v>
      </c>
      <c r="T48" s="853">
        <f>Haushalt!W$186</f>
        <v>0</v>
      </c>
      <c r="U48" s="853" t="e">
        <f>Haushalt!#REF!</f>
        <v>#REF!</v>
      </c>
      <c r="V48" s="853" t="e">
        <f>Haushalt!#REF!</f>
        <v>#REF!</v>
      </c>
      <c r="W48" s="853" t="e">
        <f>Haushalt!#REF!</f>
        <v>#REF!</v>
      </c>
      <c r="X48" s="20"/>
      <c r="Y48" s="20"/>
    </row>
    <row r="49" spans="1:25" outlineLevel="1">
      <c r="A49" s="865" t="s">
        <v>384</v>
      </c>
      <c r="B49" s="865" t="s">
        <v>995</v>
      </c>
      <c r="C49" s="864" t="s">
        <v>354</v>
      </c>
      <c r="D49" s="866">
        <f>Haushalt!G192</f>
        <v>2640</v>
      </c>
      <c r="E49" s="867"/>
      <c r="F49" s="866">
        <f>Haushalt!I192</f>
        <v>2640</v>
      </c>
      <c r="G49" s="868" t="e">
        <f>Haushalt!#REF!</f>
        <v>#REF!</v>
      </c>
      <c r="H49" s="869">
        <v>495</v>
      </c>
      <c r="I49" s="870">
        <v>2000</v>
      </c>
      <c r="J49" s="886">
        <v>0</v>
      </c>
      <c r="K49" s="852">
        <v>2000</v>
      </c>
      <c r="L49" s="853">
        <f>Haushalt!O$192</f>
        <v>0</v>
      </c>
      <c r="M49" s="853">
        <f>Haushalt!P$192</f>
        <v>0</v>
      </c>
      <c r="N49" s="853">
        <f>Haushalt!Q$192</f>
        <v>0</v>
      </c>
      <c r="O49" s="853">
        <f>Haushalt!R$192</f>
        <v>0</v>
      </c>
      <c r="P49" s="853">
        <f>Haushalt!S$192</f>
        <v>0</v>
      </c>
      <c r="Q49" s="853">
        <f>Haushalt!T$192</f>
        <v>0</v>
      </c>
      <c r="R49" s="853">
        <f>Haushalt!U$192</f>
        <v>0</v>
      </c>
      <c r="S49" s="853">
        <f>Haushalt!V$192</f>
        <v>0</v>
      </c>
      <c r="T49" s="853">
        <f>Haushalt!W$192</f>
        <v>0</v>
      </c>
      <c r="U49" s="853" t="e">
        <f>Haushalt!#REF!</f>
        <v>#REF!</v>
      </c>
      <c r="V49" s="853" t="e">
        <f>Haushalt!#REF!</f>
        <v>#REF!</v>
      </c>
      <c r="W49" s="853" t="e">
        <f>Haushalt!#REF!</f>
        <v>#REF!</v>
      </c>
      <c r="X49" s="20"/>
      <c r="Y49" s="20"/>
    </row>
    <row r="50" spans="1:25" outlineLevel="1">
      <c r="A50" s="865" t="s">
        <v>394</v>
      </c>
      <c r="B50" s="865" t="s">
        <v>995</v>
      </c>
      <c r="C50" s="864" t="s">
        <v>1133</v>
      </c>
      <c r="D50" s="866">
        <f>Haushalt!G198</f>
        <v>100</v>
      </c>
      <c r="E50" s="867"/>
      <c r="F50" s="866">
        <f>Haushalt!I198</f>
        <v>100</v>
      </c>
      <c r="G50" s="868" t="e">
        <f>Haushalt!#REF!</f>
        <v>#REF!</v>
      </c>
      <c r="H50" s="869">
        <v>495</v>
      </c>
      <c r="I50" s="870">
        <v>500</v>
      </c>
      <c r="J50" s="886">
        <v>0</v>
      </c>
      <c r="K50" s="852">
        <v>500</v>
      </c>
      <c r="L50" s="853">
        <f>Haushalt!O$198</f>
        <v>0</v>
      </c>
      <c r="M50" s="853">
        <f>Haushalt!P$198</f>
        <v>0</v>
      </c>
      <c r="N50" s="853">
        <f>Haushalt!Q$198</f>
        <v>0</v>
      </c>
      <c r="O50" s="853">
        <f>Haushalt!R$198</f>
        <v>0</v>
      </c>
      <c r="P50" s="853">
        <f>Haushalt!S$198</f>
        <v>0</v>
      </c>
      <c r="Q50" s="853">
        <f>Haushalt!T$198</f>
        <v>0</v>
      </c>
      <c r="R50" s="853">
        <f>Haushalt!U$198</f>
        <v>0</v>
      </c>
      <c r="S50" s="853">
        <f>Haushalt!V$198</f>
        <v>0</v>
      </c>
      <c r="T50" s="853">
        <f>Haushalt!W$198</f>
        <v>0</v>
      </c>
      <c r="U50" s="853" t="e">
        <f>Haushalt!#REF!</f>
        <v>#REF!</v>
      </c>
      <c r="V50" s="853" t="e">
        <f>Haushalt!#REF!</f>
        <v>#REF!</v>
      </c>
      <c r="W50" s="853" t="e">
        <f>Haushalt!#REF!</f>
        <v>#REF!</v>
      </c>
      <c r="X50" s="20"/>
      <c r="Y50" s="20"/>
    </row>
    <row r="51" spans="1:25" outlineLevel="1">
      <c r="A51" s="875" t="s">
        <v>402</v>
      </c>
      <c r="B51" s="875" t="s">
        <v>403</v>
      </c>
      <c r="C51" s="876" t="s">
        <v>399</v>
      </c>
      <c r="D51" s="866">
        <f>Haushalt!G204</f>
        <v>340</v>
      </c>
      <c r="E51" s="867">
        <f>HHJ_2024_2025!H215</f>
        <v>0</v>
      </c>
      <c r="F51" s="866">
        <f>Haushalt!I204</f>
        <v>340</v>
      </c>
      <c r="G51" s="868" t="e">
        <f>Haushalt!#REF!</f>
        <v>#REF!</v>
      </c>
      <c r="H51" s="869">
        <v>0</v>
      </c>
      <c r="I51" s="870">
        <v>300</v>
      </c>
      <c r="J51" s="886">
        <v>72.430000000000007</v>
      </c>
      <c r="K51" s="852">
        <v>300</v>
      </c>
      <c r="L51" s="853">
        <f>Haushalt!O$204</f>
        <v>0</v>
      </c>
      <c r="M51" s="853">
        <f>Haushalt!P$204</f>
        <v>0</v>
      </c>
      <c r="N51" s="853">
        <f>Haushalt!Q$204</f>
        <v>0</v>
      </c>
      <c r="O51" s="853">
        <f>Haushalt!R$204</f>
        <v>0</v>
      </c>
      <c r="P51" s="853">
        <f>Haushalt!S$204</f>
        <v>0</v>
      </c>
      <c r="Q51" s="853">
        <f>Haushalt!T$204</f>
        <v>0</v>
      </c>
      <c r="R51" s="853">
        <f>Haushalt!U$204</f>
        <v>0</v>
      </c>
      <c r="S51" s="853">
        <f>Haushalt!V$204</f>
        <v>0</v>
      </c>
      <c r="T51" s="853">
        <f>Haushalt!W$204</f>
        <v>0</v>
      </c>
      <c r="U51" s="853" t="e">
        <f>Haushalt!#REF!</f>
        <v>#REF!</v>
      </c>
      <c r="V51" s="853" t="e">
        <f>Haushalt!#REF!</f>
        <v>#REF!</v>
      </c>
      <c r="W51" s="853" t="e">
        <f>Haushalt!#REF!</f>
        <v>#REF!</v>
      </c>
      <c r="X51" s="20"/>
      <c r="Y51" s="20"/>
    </row>
    <row r="52" spans="1:25" outlineLevel="1">
      <c r="A52" s="874" t="s">
        <v>414</v>
      </c>
      <c r="B52" s="874" t="s">
        <v>415</v>
      </c>
      <c r="C52" s="876" t="s">
        <v>1134</v>
      </c>
      <c r="D52" s="866">
        <f>Haushalt!G210</f>
        <v>200</v>
      </c>
      <c r="E52" s="867">
        <f>HHJ_2024_2025!H214</f>
        <v>0</v>
      </c>
      <c r="F52" s="866">
        <f>Haushalt!I210</f>
        <v>4500</v>
      </c>
      <c r="G52" s="868" t="e">
        <f>Haushalt!#REF!</f>
        <v>#REF!</v>
      </c>
      <c r="H52" s="869">
        <v>0</v>
      </c>
      <c r="I52" s="870">
        <v>500</v>
      </c>
      <c r="J52" s="886">
        <v>0</v>
      </c>
      <c r="K52" s="852">
        <v>500</v>
      </c>
      <c r="L52" s="853">
        <f>Haushalt!O$210</f>
        <v>0</v>
      </c>
      <c r="M52" s="853">
        <f>Haushalt!P$210</f>
        <v>0</v>
      </c>
      <c r="N52" s="853">
        <f>Haushalt!Q$210</f>
        <v>0</v>
      </c>
      <c r="O52" s="853">
        <f>Haushalt!R$210</f>
        <v>0</v>
      </c>
      <c r="P52" s="853">
        <f>Haushalt!S$210</f>
        <v>0</v>
      </c>
      <c r="Q52" s="853">
        <f>Haushalt!T$210</f>
        <v>0</v>
      </c>
      <c r="R52" s="853">
        <f>Haushalt!U$210</f>
        <v>0</v>
      </c>
      <c r="S52" s="853">
        <f>Haushalt!V$210</f>
        <v>0</v>
      </c>
      <c r="T52" s="853">
        <f>Haushalt!W$210</f>
        <v>0</v>
      </c>
      <c r="U52" s="853" t="e">
        <f>Haushalt!#REF!</f>
        <v>#REF!</v>
      </c>
      <c r="V52" s="853" t="e">
        <f>Haushalt!#REF!</f>
        <v>#REF!</v>
      </c>
      <c r="W52" s="853" t="e">
        <f>Haushalt!#REF!</f>
        <v>#REF!</v>
      </c>
      <c r="X52" s="20"/>
      <c r="Y52" s="20"/>
    </row>
    <row r="53" spans="1:25" outlineLevel="1">
      <c r="A53" s="874" t="s">
        <v>426</v>
      </c>
      <c r="B53" s="874" t="s">
        <v>1002</v>
      </c>
      <c r="C53" s="876" t="s">
        <v>1135</v>
      </c>
      <c r="D53" s="866">
        <f>Haushalt!G216</f>
        <v>1500</v>
      </c>
      <c r="E53" s="867">
        <f>HHJ_2024_2025!H216</f>
        <v>240</v>
      </c>
      <c r="F53" s="866">
        <f>Haushalt!I216</f>
        <v>1500</v>
      </c>
      <c r="G53" s="868" t="e">
        <f>Haushalt!#REF!</f>
        <v>#REF!</v>
      </c>
      <c r="H53" s="869">
        <v>23.82</v>
      </c>
      <c r="I53" s="870">
        <v>500</v>
      </c>
      <c r="J53" s="886">
        <v>0</v>
      </c>
      <c r="K53" s="852">
        <v>500</v>
      </c>
      <c r="L53" s="853">
        <f>Haushalt!O$216</f>
        <v>0</v>
      </c>
      <c r="M53" s="853">
        <f>Haushalt!P$216</f>
        <v>0</v>
      </c>
      <c r="N53" s="853">
        <f>Haushalt!Q$216</f>
        <v>0</v>
      </c>
      <c r="O53" s="853">
        <f>Haushalt!R$216</f>
        <v>0</v>
      </c>
      <c r="P53" s="853">
        <f>Haushalt!S$216</f>
        <v>0</v>
      </c>
      <c r="Q53" s="853">
        <f>Haushalt!T$216</f>
        <v>0</v>
      </c>
      <c r="R53" s="853">
        <f>Haushalt!U$216</f>
        <v>0</v>
      </c>
      <c r="S53" s="853">
        <f>Haushalt!V$216</f>
        <v>0</v>
      </c>
      <c r="T53" s="853">
        <f>Haushalt!W$216</f>
        <v>0</v>
      </c>
      <c r="U53" s="853" t="e">
        <f>Haushalt!#REF!</f>
        <v>#REF!</v>
      </c>
      <c r="V53" s="853" t="e">
        <f>Haushalt!#REF!</f>
        <v>#REF!</v>
      </c>
      <c r="W53" s="853" t="e">
        <f>Haushalt!#REF!</f>
        <v>#REF!</v>
      </c>
      <c r="X53" s="20"/>
      <c r="Y53" s="20"/>
    </row>
    <row r="54" spans="1:25" outlineLevel="1">
      <c r="A54" s="874" t="s">
        <v>438</v>
      </c>
      <c r="B54" s="874" t="s">
        <v>1002</v>
      </c>
      <c r="C54" s="882" t="s">
        <v>1136</v>
      </c>
      <c r="D54" s="866">
        <f>Haushalt!G222</f>
        <v>1800</v>
      </c>
      <c r="E54" s="867"/>
      <c r="F54" s="866">
        <f>Haushalt!I222</f>
        <v>2300</v>
      </c>
      <c r="G54" s="868" t="e">
        <f>Haushalt!#REF!</f>
        <v>#REF!</v>
      </c>
      <c r="H54" s="869">
        <v>214.39</v>
      </c>
      <c r="I54" s="870">
        <v>500</v>
      </c>
      <c r="J54" s="886">
        <v>198.19</v>
      </c>
      <c r="K54" s="852">
        <v>500</v>
      </c>
      <c r="L54" s="853">
        <f>Haushalt!O$222</f>
        <v>0</v>
      </c>
      <c r="M54" s="853">
        <f>Haushalt!P$222</f>
        <v>0</v>
      </c>
      <c r="N54" s="853">
        <f>Haushalt!Q$222</f>
        <v>0</v>
      </c>
      <c r="O54" s="853">
        <f>Haushalt!R$222</f>
        <v>0</v>
      </c>
      <c r="P54" s="853">
        <f>Haushalt!S$222</f>
        <v>0</v>
      </c>
      <c r="Q54" s="853">
        <f>Haushalt!T$222</f>
        <v>0</v>
      </c>
      <c r="R54" s="853">
        <f>Haushalt!U$222</f>
        <v>19.32</v>
      </c>
      <c r="S54" s="853">
        <f>Haushalt!V$222</f>
        <v>212.46</v>
      </c>
      <c r="T54" s="853">
        <f>Haushalt!W$222</f>
        <v>212.46</v>
      </c>
      <c r="U54" s="853" t="e">
        <f>Haushalt!#REF!</f>
        <v>#REF!</v>
      </c>
      <c r="V54" s="853" t="e">
        <f>Haushalt!#REF!</f>
        <v>#REF!</v>
      </c>
      <c r="W54" s="853" t="e">
        <f>Haushalt!#REF!</f>
        <v>#REF!</v>
      </c>
      <c r="X54" s="20"/>
      <c r="Y54" s="20"/>
    </row>
    <row r="55" spans="1:25" ht="15" outlineLevel="1" thickBot="1">
      <c r="A55" s="874" t="s">
        <v>464</v>
      </c>
      <c r="B55" s="874" t="s">
        <v>1005</v>
      </c>
      <c r="C55" s="883" t="s">
        <v>1137</v>
      </c>
      <c r="D55" s="226">
        <f>Haushalt!G235/5</f>
        <v>584</v>
      </c>
      <c r="E55" s="878">
        <f>HHJ_2024_2025!H217</f>
        <v>0</v>
      </c>
      <c r="F55" s="226">
        <f>Haushalt!I235/5</f>
        <v>490</v>
      </c>
      <c r="G55" s="354" t="e">
        <f>Haushalt!#REF!/5</f>
        <v>#REF!</v>
      </c>
      <c r="H55" s="884">
        <v>0</v>
      </c>
      <c r="I55" s="885">
        <v>200</v>
      </c>
      <c r="J55" s="886">
        <v>0</v>
      </c>
      <c r="K55" s="852">
        <v>0</v>
      </c>
      <c r="L55" s="853">
        <f>Haushalt!O$235/5</f>
        <v>0</v>
      </c>
      <c r="M55" s="853">
        <f>Haushalt!P$235/5</f>
        <v>0</v>
      </c>
      <c r="N55" s="853">
        <f>Haushalt!Q$235/5</f>
        <v>0</v>
      </c>
      <c r="O55" s="853">
        <f>Haushalt!R$235/5</f>
        <v>0</v>
      </c>
      <c r="P55" s="853">
        <f>Haushalt!S$235/5</f>
        <v>0</v>
      </c>
      <c r="Q55" s="853">
        <f>Haushalt!T$235/5</f>
        <v>0</v>
      </c>
      <c r="R55" s="853">
        <f>Haushalt!U$235/5</f>
        <v>0</v>
      </c>
      <c r="S55" s="853">
        <f>Haushalt!V$235/5</f>
        <v>0</v>
      </c>
      <c r="T55" s="853">
        <f>Haushalt!W$235/5</f>
        <v>0</v>
      </c>
      <c r="U55" s="853" t="e">
        <f>Haushalt!#REF!/5</f>
        <v>#REF!</v>
      </c>
      <c r="V55" s="853" t="e">
        <f>Haushalt!#REF!/5</f>
        <v>#REF!</v>
      </c>
      <c r="W55" s="853" t="e">
        <f>Haushalt!#REF!/5</f>
        <v>#REF!</v>
      </c>
      <c r="X55" s="20"/>
      <c r="Y55" s="20"/>
    </row>
    <row r="56" spans="1:25">
      <c r="A56" s="209"/>
      <c r="B56" s="210"/>
      <c r="C56" s="211" t="s">
        <v>1079</v>
      </c>
      <c r="D56" s="364">
        <f t="shared" ref="D56:W56" si="11">SUM(D43:D55)</f>
        <v>37984</v>
      </c>
      <c r="E56" s="269">
        <f t="shared" si="11"/>
        <v>13535.33</v>
      </c>
      <c r="F56" s="362">
        <f t="shared" si="11"/>
        <v>45120</v>
      </c>
      <c r="G56" s="212" t="e">
        <f t="shared" ref="G56:H56" si="12">SUM(G43:G55)</f>
        <v>#REF!</v>
      </c>
      <c r="H56" s="362">
        <f t="shared" si="12"/>
        <v>13885.039999999999</v>
      </c>
      <c r="I56" s="362">
        <f t="shared" ref="I56" si="13">SUM(I43:I55)</f>
        <v>24100</v>
      </c>
      <c r="J56" s="396">
        <v>15834.710000000001</v>
      </c>
      <c r="K56" s="396">
        <f>SUM(K43:K55)</f>
        <v>23900</v>
      </c>
      <c r="L56" s="324">
        <f t="shared" si="11"/>
        <v>551.31999999999994</v>
      </c>
      <c r="M56" s="314">
        <f t="shared" si="11"/>
        <v>685.64</v>
      </c>
      <c r="N56" s="314">
        <f t="shared" si="11"/>
        <v>886.96</v>
      </c>
      <c r="O56" s="314">
        <f t="shared" si="11"/>
        <v>1021.28</v>
      </c>
      <c r="P56" s="314">
        <f t="shared" ref="P56" si="14">SUM(P43:P55)</f>
        <v>1155.5999999999999</v>
      </c>
      <c r="Q56" s="314">
        <f t="shared" si="11"/>
        <v>1400.92</v>
      </c>
      <c r="R56" s="314">
        <f t="shared" si="11"/>
        <v>1420.24</v>
      </c>
      <c r="S56" s="314">
        <f t="shared" si="11"/>
        <v>1613.38</v>
      </c>
      <c r="T56" s="314">
        <f t="shared" si="11"/>
        <v>1682.18</v>
      </c>
      <c r="U56" s="314" t="e">
        <f t="shared" ref="U56" si="15">SUM(U43:U55)</f>
        <v>#REF!</v>
      </c>
      <c r="V56" s="314" t="e">
        <f t="shared" si="11"/>
        <v>#REF!</v>
      </c>
      <c r="W56" s="306" t="e">
        <f t="shared" si="11"/>
        <v>#REF!</v>
      </c>
      <c r="X56" s="20"/>
      <c r="Y56" s="20"/>
    </row>
    <row r="57" spans="1:25" ht="15" thickBot="1">
      <c r="A57" s="214"/>
      <c r="B57" s="215"/>
      <c r="C57" s="216" t="s">
        <v>1139</v>
      </c>
      <c r="D57" s="365">
        <f>SUM(D9+D10+D11)-D56</f>
        <v>-26208</v>
      </c>
      <c r="E57" s="217">
        <f t="shared" ref="E57:W57" si="16">E9-E56</f>
        <v>-10845.33</v>
      </c>
      <c r="F57" s="363">
        <f>SUM(F9+F10+F11)-F56</f>
        <v>-36110</v>
      </c>
      <c r="G57" s="217" t="e">
        <f>SUM(G9+G10+G11)-G56</f>
        <v>#REF!</v>
      </c>
      <c r="H57" s="363">
        <f>SUM(H9+H10+H11)-H56</f>
        <v>-11290.039999999999</v>
      </c>
      <c r="I57" s="363">
        <f>SUM(I9+I10+I11)-I56</f>
        <v>-19600</v>
      </c>
      <c r="J57" s="397">
        <v>-14634.710000000001</v>
      </c>
      <c r="K57" s="397">
        <f>K9-K56</f>
        <v>-23900</v>
      </c>
      <c r="L57" s="325">
        <f t="shared" si="16"/>
        <v>-551.31999999999994</v>
      </c>
      <c r="M57" s="315">
        <f t="shared" si="16"/>
        <v>-685.64</v>
      </c>
      <c r="N57" s="315">
        <f t="shared" si="16"/>
        <v>-886.96</v>
      </c>
      <c r="O57" s="315">
        <f t="shared" si="16"/>
        <v>-1021.28</v>
      </c>
      <c r="P57" s="315">
        <f t="shared" ref="P57" si="17">P9-P56</f>
        <v>-1155.5999999999999</v>
      </c>
      <c r="Q57" s="315">
        <f t="shared" si="16"/>
        <v>-1400.92</v>
      </c>
      <c r="R57" s="315">
        <f t="shared" si="16"/>
        <v>-1420.24</v>
      </c>
      <c r="S57" s="315">
        <f t="shared" si="16"/>
        <v>-1613.38</v>
      </c>
      <c r="T57" s="315">
        <f t="shared" si="16"/>
        <v>-1682.18</v>
      </c>
      <c r="U57" s="315" t="e">
        <f t="shared" ref="U57" si="18">U9-U56</f>
        <v>#REF!</v>
      </c>
      <c r="V57" s="315" t="e">
        <f t="shared" si="16"/>
        <v>#REF!</v>
      </c>
      <c r="W57" s="307" t="e">
        <f t="shared" si="16"/>
        <v>#REF!</v>
      </c>
      <c r="X57" s="20"/>
      <c r="Y57" s="20"/>
    </row>
    <row r="58" spans="1:25" ht="15" thickBot="1">
      <c r="A58" s="219"/>
      <c r="B58" s="219"/>
      <c r="C58" s="219"/>
      <c r="D58" s="83"/>
      <c r="E58" s="83"/>
      <c r="F58" s="83"/>
      <c r="G58" s="83"/>
      <c r="H58" s="83"/>
      <c r="I58" s="83"/>
      <c r="J58" s="94"/>
      <c r="K58" s="94"/>
      <c r="L58" s="96"/>
      <c r="M58" s="96"/>
      <c r="N58" s="96"/>
      <c r="O58" s="96"/>
      <c r="P58" s="96"/>
      <c r="Q58" s="96"/>
      <c r="R58" s="96"/>
      <c r="S58" s="96"/>
      <c r="T58" s="96"/>
      <c r="U58" s="96"/>
      <c r="V58" s="96"/>
      <c r="W58" s="96"/>
      <c r="X58" s="20"/>
      <c r="Y58" s="20"/>
    </row>
    <row r="59" spans="1:25" ht="15" thickBot="1">
      <c r="A59" s="238" t="s">
        <v>1007</v>
      </c>
      <c r="B59" s="239"/>
      <c r="C59" s="243" t="s">
        <v>1008</v>
      </c>
      <c r="D59" s="83"/>
      <c r="E59" s="101"/>
      <c r="F59" s="83"/>
      <c r="G59" s="83"/>
      <c r="H59" s="83"/>
      <c r="I59" s="83"/>
      <c r="J59" s="94"/>
      <c r="K59" s="94"/>
      <c r="L59" s="96"/>
      <c r="M59" s="96"/>
      <c r="N59" s="96"/>
      <c r="O59" s="96"/>
      <c r="P59" s="96"/>
      <c r="Q59" s="96"/>
      <c r="R59" s="96"/>
      <c r="S59" s="96"/>
      <c r="T59" s="96"/>
      <c r="U59" s="90"/>
      <c r="V59" s="90"/>
      <c r="W59" s="96"/>
      <c r="X59" s="20"/>
      <c r="Y59" s="20"/>
    </row>
    <row r="60" spans="1:25" outlineLevel="1">
      <c r="A60" s="863" t="s">
        <v>157</v>
      </c>
      <c r="B60" s="863" t="s">
        <v>1009</v>
      </c>
      <c r="C60" s="864" t="s">
        <v>1127</v>
      </c>
      <c r="D60" s="225">
        <f>800*12</f>
        <v>9600</v>
      </c>
      <c r="E60" s="270">
        <v>9600</v>
      </c>
      <c r="F60" s="225">
        <f>800*12</f>
        <v>9600</v>
      </c>
      <c r="G60" s="353">
        <f>800*12</f>
        <v>9600</v>
      </c>
      <c r="H60" s="357">
        <v>9600</v>
      </c>
      <c r="I60" s="356">
        <v>9600</v>
      </c>
      <c r="J60" s="385">
        <v>9600</v>
      </c>
      <c r="K60" s="385">
        <v>9600</v>
      </c>
      <c r="L60" s="298">
        <f>AE_Zuweisung_Fachschaften!E$33</f>
        <v>0</v>
      </c>
      <c r="M60" s="298">
        <f>AE_Zuweisung_Fachschaften!E$33+AE_Zuweisung_Fachschaften!F$33</f>
        <v>0</v>
      </c>
      <c r="N60" s="298">
        <f>AE_Zuweisung_Fachschaften!E$33+AE_Zuweisung_Fachschaften!F$33+AE_Zuweisung_Fachschaften!G$33</f>
        <v>0</v>
      </c>
      <c r="O60" s="298">
        <f>AE_Zuweisung_Fachschaften!E$33+AE_Zuweisung_Fachschaften!F$33+AE_Zuweisung_Fachschaften!G$33+AE_Zuweisung_Fachschaften!H$33</f>
        <v>0</v>
      </c>
      <c r="P60" s="298">
        <f>AE_Zuweisung_Fachschaften!E$33+AE_Zuweisung_Fachschaften!F$33+AE_Zuweisung_Fachschaften!G$33+AE_Zuweisung_Fachschaften!H$33+AE_Zuweisung_Fachschaften!I$33</f>
        <v>0</v>
      </c>
      <c r="Q60" s="298">
        <f>AE_Zuweisung_Fachschaften!E$33+AE_Zuweisung_Fachschaften!F$33+AE_Zuweisung_Fachschaften!G$33+AE_Zuweisung_Fachschaften!H$33+AE_Zuweisung_Fachschaften!I$33+AE_Zuweisung_Fachschaften!J$33</f>
        <v>0</v>
      </c>
      <c r="R60" s="298">
        <f>AE_Zuweisung_Fachschaften!E$33+AE_Zuweisung_Fachschaften!F$33+AE_Zuweisung_Fachschaften!G$33+AE_Zuweisung_Fachschaften!H$33+AE_Zuweisung_Fachschaften!I$33+AE_Zuweisung_Fachschaften!J$33+AE_Zuweisung_Fachschaften!K$33</f>
        <v>0</v>
      </c>
      <c r="S60" s="298">
        <f>AE_Zuweisung_Fachschaften!E$33+AE_Zuweisung_Fachschaften!F$33+AE_Zuweisung_Fachschaften!G$33+AE_Zuweisung_Fachschaften!H$33+AE_Zuweisung_Fachschaften!I$33+AE_Zuweisung_Fachschaften!J$33+AE_Zuweisung_Fachschaften!K$33+AE_Zuweisung_Fachschaften!L$33</f>
        <v>0</v>
      </c>
      <c r="T60" s="298">
        <f>AE_Zuweisung_Fachschaften!E$33+AE_Zuweisung_Fachschaften!F$33+AE_Zuweisung_Fachschaften!G$33+AE_Zuweisung_Fachschaften!H$33+AE_Zuweisung_Fachschaften!I$33+AE_Zuweisung_Fachschaften!J$33+AE_Zuweisung_Fachschaften!K$33+AE_Zuweisung_Fachschaften!L$33+AE_Zuweisung_Fachschaften!M$33</f>
        <v>0</v>
      </c>
      <c r="U60" s="298">
        <f>AE_Zuweisung_Fachschaften!E$33+AE_Zuweisung_Fachschaften!F$33+AE_Zuweisung_Fachschaften!G$33+AE_Zuweisung_Fachschaften!H$33+AE_Zuweisung_Fachschaften!I$33+AE_Zuweisung_Fachschaften!J$33+AE_Zuweisung_Fachschaften!K$33+AE_Zuweisung_Fachschaften!L$33+AE_Zuweisung_Fachschaften!M$33+AE_Zuweisung_Fachschaften!N$33</f>
        <v>0</v>
      </c>
      <c r="V60" s="298">
        <f>AE_Zuweisung_Fachschaften!E$33+AE_Zuweisung_Fachschaften!F$33+AE_Zuweisung_Fachschaften!G$33+AE_Zuweisung_Fachschaften!H$33+AE_Zuweisung_Fachschaften!I$33+AE_Zuweisung_Fachschaften!J$33+AE_Zuweisung_Fachschaften!K$33+AE_Zuweisung_Fachschaften!L$33+AE_Zuweisung_Fachschaften!M$33+AE_Zuweisung_Fachschaften!N$33+AE_Zuweisung_Fachschaften!O$33</f>
        <v>0</v>
      </c>
      <c r="W60" s="298">
        <f>AE_Zuweisung_Fachschaften!E$33+AE_Zuweisung_Fachschaften!F$33+AE_Zuweisung_Fachschaften!G$33+AE_Zuweisung_Fachschaften!H$33+AE_Zuweisung_Fachschaften!I$33+AE_Zuweisung_Fachschaften!J$33+AE_Zuweisung_Fachschaften!K$33+AE_Zuweisung_Fachschaften!L$33+AE_Zuweisung_Fachschaften!M$33+AE_Zuweisung_Fachschaften!N$33+AE_Zuweisung_Fachschaften!O$33+AE_Zuweisung_Fachschaften!P$33</f>
        <v>0</v>
      </c>
      <c r="X60" s="20"/>
      <c r="Y60" s="20"/>
    </row>
    <row r="61" spans="1:25" outlineLevel="1">
      <c r="A61" s="865" t="s">
        <v>168</v>
      </c>
      <c r="B61" s="865" t="s">
        <v>1009</v>
      </c>
      <c r="C61" s="864" t="s">
        <v>1128</v>
      </c>
      <c r="D61" s="866">
        <f>Haushalt!G91</f>
        <v>4500</v>
      </c>
      <c r="E61" s="887">
        <f>HHJ_2024_2025!H219-E60</f>
        <v>2435</v>
      </c>
      <c r="F61" s="866">
        <f>Haushalt!I91</f>
        <v>4400</v>
      </c>
      <c r="G61" s="868" t="e">
        <f>Haushalt!#REF!</f>
        <v>#REF!</v>
      </c>
      <c r="H61" s="869">
        <v>180</v>
      </c>
      <c r="I61" s="870">
        <v>2000</v>
      </c>
      <c r="J61" s="886">
        <v>0</v>
      </c>
      <c r="K61" s="852">
        <v>2000</v>
      </c>
      <c r="L61" s="853">
        <f>Haushalt!O91</f>
        <v>0</v>
      </c>
      <c r="M61" s="853">
        <f>Haushalt!P91</f>
        <v>0</v>
      </c>
      <c r="N61" s="853">
        <f>Haushalt!Q91</f>
        <v>0</v>
      </c>
      <c r="O61" s="853">
        <f>Haushalt!R91</f>
        <v>0</v>
      </c>
      <c r="P61" s="853">
        <f>Haushalt!S91</f>
        <v>0</v>
      </c>
      <c r="Q61" s="853">
        <f>Haushalt!T91</f>
        <v>30</v>
      </c>
      <c r="R61" s="853">
        <f>Haushalt!U91</f>
        <v>395</v>
      </c>
      <c r="S61" s="853">
        <f>Haushalt!V91</f>
        <v>395</v>
      </c>
      <c r="T61" s="853">
        <f>Haushalt!W91</f>
        <v>420</v>
      </c>
      <c r="U61" s="853"/>
      <c r="V61" s="853"/>
      <c r="W61" s="853"/>
      <c r="X61" s="20"/>
      <c r="Y61" s="20"/>
    </row>
    <row r="62" spans="1:25" outlineLevel="1">
      <c r="A62" s="865" t="s">
        <v>279</v>
      </c>
      <c r="B62" s="865" t="s">
        <v>280</v>
      </c>
      <c r="C62" s="871" t="s">
        <v>1129</v>
      </c>
      <c r="D62" s="866">
        <f>Haushalt!G139</f>
        <v>2600</v>
      </c>
      <c r="E62" s="867">
        <f>HHJ_2024_2025!H220</f>
        <v>1081.3800000000001</v>
      </c>
      <c r="F62" s="866">
        <f>Haushalt!I139</f>
        <v>6000</v>
      </c>
      <c r="G62" s="868" t="e">
        <f>Haushalt!#REF!</f>
        <v>#REF!</v>
      </c>
      <c r="H62" s="869">
        <v>705.42</v>
      </c>
      <c r="I62" s="870">
        <v>2000</v>
      </c>
      <c r="J62" s="886">
        <v>0</v>
      </c>
      <c r="K62" s="852">
        <v>2000</v>
      </c>
      <c r="L62" s="853">
        <f>Haushalt!O$139</f>
        <v>0</v>
      </c>
      <c r="M62" s="853">
        <f>Haushalt!P$139</f>
        <v>0</v>
      </c>
      <c r="N62" s="853">
        <f>Haushalt!Q$139</f>
        <v>0</v>
      </c>
      <c r="O62" s="853">
        <f>Haushalt!R$139</f>
        <v>0</v>
      </c>
      <c r="P62" s="853">
        <f>Haushalt!S$139</f>
        <v>0</v>
      </c>
      <c r="Q62" s="853">
        <f>Haushalt!T$139</f>
        <v>157.44</v>
      </c>
      <c r="R62" s="853">
        <f>Haushalt!U$139</f>
        <v>911.84</v>
      </c>
      <c r="S62" s="853">
        <f>Haushalt!V$139</f>
        <v>911.84</v>
      </c>
      <c r="T62" s="853">
        <f>Haushalt!W$139</f>
        <v>960.21</v>
      </c>
      <c r="U62" s="853" t="e">
        <f>Haushalt!#REF!</f>
        <v>#REF!</v>
      </c>
      <c r="V62" s="853" t="e">
        <f>Haushalt!#REF!</f>
        <v>#REF!</v>
      </c>
      <c r="W62" s="853" t="e">
        <f>Haushalt!#REF!</f>
        <v>#REF!</v>
      </c>
      <c r="X62" s="20"/>
      <c r="Y62" s="20"/>
    </row>
    <row r="63" spans="1:25" outlineLevel="1">
      <c r="A63" s="865" t="s">
        <v>305</v>
      </c>
      <c r="B63" s="865" t="s">
        <v>306</v>
      </c>
      <c r="C63" s="864" t="s">
        <v>1130</v>
      </c>
      <c r="D63" s="866">
        <f>Haushalt!G151</f>
        <v>1600</v>
      </c>
      <c r="E63" s="867">
        <f>HHJ_2024_2025!H222</f>
        <v>266.97000000000003</v>
      </c>
      <c r="F63" s="866">
        <f>Haushalt!I151</f>
        <v>1400</v>
      </c>
      <c r="G63" s="868" t="e">
        <f>Haushalt!#REF!</f>
        <v>#REF!</v>
      </c>
      <c r="H63" s="869">
        <v>94</v>
      </c>
      <c r="I63" s="870">
        <v>1500</v>
      </c>
      <c r="J63" s="886">
        <v>2023.15</v>
      </c>
      <c r="K63" s="852">
        <v>1500</v>
      </c>
      <c r="L63" s="853">
        <f>Haushalt!O$151</f>
        <v>134.32</v>
      </c>
      <c r="M63" s="853">
        <f>Haushalt!P$151</f>
        <v>268.64</v>
      </c>
      <c r="N63" s="853">
        <f>Haushalt!Q$151</f>
        <v>402.96</v>
      </c>
      <c r="O63" s="853">
        <f>Haushalt!R$151</f>
        <v>537.28</v>
      </c>
      <c r="P63" s="853">
        <f>Haushalt!S$151</f>
        <v>671.6</v>
      </c>
      <c r="Q63" s="853">
        <f>Haushalt!T$151</f>
        <v>805.92</v>
      </c>
      <c r="R63" s="853">
        <f>Haushalt!U$151</f>
        <v>1068.24</v>
      </c>
      <c r="S63" s="853">
        <f>Haushalt!V$151</f>
        <v>1202.56</v>
      </c>
      <c r="T63" s="853">
        <f>Haushalt!W$151</f>
        <v>1336.88</v>
      </c>
      <c r="U63" s="853" t="e">
        <f>Haushalt!#REF!</f>
        <v>#REF!</v>
      </c>
      <c r="V63" s="853" t="e">
        <f>Haushalt!#REF!</f>
        <v>#REF!</v>
      </c>
      <c r="W63" s="853" t="e">
        <f>Haushalt!#REF!</f>
        <v>#REF!</v>
      </c>
      <c r="X63" s="20"/>
      <c r="Y63" s="20"/>
    </row>
    <row r="64" spans="1:25" outlineLevel="1">
      <c r="A64" s="865" t="s">
        <v>329</v>
      </c>
      <c r="B64" s="865" t="s">
        <v>330</v>
      </c>
      <c r="C64" s="872" t="s">
        <v>1131</v>
      </c>
      <c r="D64" s="866">
        <f>Haushalt!G163</f>
        <v>400</v>
      </c>
      <c r="E64" s="867">
        <f>HHJ_2024_2025!H223</f>
        <v>200</v>
      </c>
      <c r="F64" s="866">
        <f>Haushalt!I163</f>
        <v>500</v>
      </c>
      <c r="G64" s="868" t="e">
        <f>Haushalt!#REF!</f>
        <v>#REF!</v>
      </c>
      <c r="H64" s="869">
        <v>0</v>
      </c>
      <c r="I64" s="870">
        <v>500</v>
      </c>
      <c r="J64" s="886">
        <v>0</v>
      </c>
      <c r="K64" s="852">
        <v>500</v>
      </c>
      <c r="L64" s="853">
        <f>Haushalt!O$163</f>
        <v>0</v>
      </c>
      <c r="M64" s="853">
        <f>Haushalt!P$163</f>
        <v>0</v>
      </c>
      <c r="N64" s="853">
        <f>Haushalt!Q$163</f>
        <v>0</v>
      </c>
      <c r="O64" s="853">
        <f>Haushalt!R$163</f>
        <v>0</v>
      </c>
      <c r="P64" s="853">
        <f>Haushalt!S$163</f>
        <v>0</v>
      </c>
      <c r="Q64" s="853">
        <f>Haushalt!T$163</f>
        <v>0</v>
      </c>
      <c r="R64" s="853">
        <f>Haushalt!U$163</f>
        <v>0</v>
      </c>
      <c r="S64" s="853">
        <f>Haushalt!V$163</f>
        <v>0</v>
      </c>
      <c r="T64" s="853">
        <f>Haushalt!W$163</f>
        <v>0</v>
      </c>
      <c r="U64" s="853" t="e">
        <f>Haushalt!#REF!</f>
        <v>#REF!</v>
      </c>
      <c r="V64" s="853" t="e">
        <f>Haushalt!#REF!</f>
        <v>#REF!</v>
      </c>
      <c r="W64" s="853" t="e">
        <f>Haushalt!#REF!</f>
        <v>#REF!</v>
      </c>
      <c r="X64" s="20"/>
      <c r="Y64" s="20"/>
    </row>
    <row r="65" spans="1:25" outlineLevel="1">
      <c r="A65" s="865" t="s">
        <v>375</v>
      </c>
      <c r="B65" s="865" t="s">
        <v>1013</v>
      </c>
      <c r="C65" s="873" t="s">
        <v>1132</v>
      </c>
      <c r="D65" s="866">
        <f>Haushalt!G187</f>
        <v>24540</v>
      </c>
      <c r="E65" s="867">
        <f>HHJ_2024_2025!H221</f>
        <v>105</v>
      </c>
      <c r="F65" s="866">
        <f>Haushalt!I187</f>
        <v>23000</v>
      </c>
      <c r="G65" s="868" t="e">
        <f>Haushalt!#REF!</f>
        <v>#REF!</v>
      </c>
      <c r="H65" s="869">
        <v>0</v>
      </c>
      <c r="I65" s="870">
        <v>5000</v>
      </c>
      <c r="J65" s="886">
        <v>0</v>
      </c>
      <c r="K65" s="852">
        <v>5000</v>
      </c>
      <c r="L65" s="853">
        <f>Haushalt!O$187</f>
        <v>0</v>
      </c>
      <c r="M65" s="853">
        <f>Haushalt!P$187</f>
        <v>0</v>
      </c>
      <c r="N65" s="853">
        <f>Haushalt!Q$187</f>
        <v>0</v>
      </c>
      <c r="O65" s="853">
        <f>Haushalt!R$187</f>
        <v>0</v>
      </c>
      <c r="P65" s="853">
        <f>Haushalt!S$187</f>
        <v>0</v>
      </c>
      <c r="Q65" s="853">
        <f>Haushalt!T$187</f>
        <v>0</v>
      </c>
      <c r="R65" s="853">
        <f>Haushalt!U$187</f>
        <v>0</v>
      </c>
      <c r="S65" s="853">
        <f>Haushalt!V$187</f>
        <v>0</v>
      </c>
      <c r="T65" s="853">
        <f>Haushalt!W$187</f>
        <v>0</v>
      </c>
      <c r="U65" s="853" t="e">
        <f>Haushalt!#REF!</f>
        <v>#REF!</v>
      </c>
      <c r="V65" s="853" t="e">
        <f>Haushalt!#REF!</f>
        <v>#REF!</v>
      </c>
      <c r="W65" s="853" t="e">
        <f>Haushalt!#REF!</f>
        <v>#REF!</v>
      </c>
      <c r="X65" s="20"/>
      <c r="Y65" s="20"/>
    </row>
    <row r="66" spans="1:25" outlineLevel="1">
      <c r="A66" s="865" t="s">
        <v>386</v>
      </c>
      <c r="B66" s="865" t="s">
        <v>1013</v>
      </c>
      <c r="C66" s="864" t="s">
        <v>354</v>
      </c>
      <c r="D66" s="866">
        <f>Haushalt!G193</f>
        <v>2000</v>
      </c>
      <c r="E66" s="867"/>
      <c r="F66" s="866">
        <f>Haushalt!I193</f>
        <v>2000</v>
      </c>
      <c r="G66" s="868" t="e">
        <f>Haushalt!#REF!</f>
        <v>#REF!</v>
      </c>
      <c r="H66" s="869">
        <v>0</v>
      </c>
      <c r="I66" s="870">
        <v>1000</v>
      </c>
      <c r="J66" s="886">
        <v>0</v>
      </c>
      <c r="K66" s="852">
        <v>1000</v>
      </c>
      <c r="L66" s="853">
        <f>Haushalt!O$193</f>
        <v>0</v>
      </c>
      <c r="M66" s="853">
        <f>Haushalt!P$193</f>
        <v>0</v>
      </c>
      <c r="N66" s="853">
        <f>Haushalt!Q$193</f>
        <v>0</v>
      </c>
      <c r="O66" s="853">
        <f>Haushalt!R$193</f>
        <v>0</v>
      </c>
      <c r="P66" s="853">
        <f>Haushalt!S$193</f>
        <v>0</v>
      </c>
      <c r="Q66" s="853">
        <f>Haushalt!T$193</f>
        <v>0</v>
      </c>
      <c r="R66" s="853">
        <f>Haushalt!U$193</f>
        <v>0</v>
      </c>
      <c r="S66" s="853">
        <f>Haushalt!V$193</f>
        <v>0</v>
      </c>
      <c r="T66" s="853">
        <f>Haushalt!W$193</f>
        <v>0</v>
      </c>
      <c r="U66" s="853" t="e">
        <f>Haushalt!#REF!</f>
        <v>#REF!</v>
      </c>
      <c r="V66" s="853" t="e">
        <f>Haushalt!#REF!</f>
        <v>#REF!</v>
      </c>
      <c r="W66" s="853" t="e">
        <f>Haushalt!#REF!</f>
        <v>#REF!</v>
      </c>
      <c r="X66" s="20"/>
      <c r="Y66" s="20"/>
    </row>
    <row r="67" spans="1:25" outlineLevel="1">
      <c r="A67" s="865" t="s">
        <v>395</v>
      </c>
      <c r="B67" s="865" t="s">
        <v>1013</v>
      </c>
      <c r="C67" s="864" t="s">
        <v>1133</v>
      </c>
      <c r="D67" s="866">
        <f>Haushalt!G199</f>
        <v>100</v>
      </c>
      <c r="E67" s="867"/>
      <c r="F67" s="866">
        <f>Haushalt!I199</f>
        <v>500</v>
      </c>
      <c r="G67" s="868" t="e">
        <f>Haushalt!#REF!</f>
        <v>#REF!</v>
      </c>
      <c r="H67" s="869">
        <v>0</v>
      </c>
      <c r="I67" s="870">
        <v>500</v>
      </c>
      <c r="J67" s="886">
        <v>0</v>
      </c>
      <c r="K67" s="852">
        <v>500</v>
      </c>
      <c r="L67" s="853">
        <f>Haushalt!O$199</f>
        <v>0</v>
      </c>
      <c r="M67" s="853">
        <f>Haushalt!P$199</f>
        <v>0</v>
      </c>
      <c r="N67" s="853">
        <f>Haushalt!Q$199</f>
        <v>0</v>
      </c>
      <c r="O67" s="853">
        <f>Haushalt!R$199</f>
        <v>0</v>
      </c>
      <c r="P67" s="853">
        <f>Haushalt!S$199</f>
        <v>0</v>
      </c>
      <c r="Q67" s="853">
        <f>Haushalt!T$199</f>
        <v>0</v>
      </c>
      <c r="R67" s="853">
        <f>Haushalt!U$199</f>
        <v>0</v>
      </c>
      <c r="S67" s="853">
        <f>Haushalt!V$199</f>
        <v>0</v>
      </c>
      <c r="T67" s="853">
        <f>Haushalt!W$199</f>
        <v>0</v>
      </c>
      <c r="U67" s="853" t="e">
        <f>Haushalt!#REF!</f>
        <v>#REF!</v>
      </c>
      <c r="V67" s="853" t="e">
        <f>Haushalt!#REF!</f>
        <v>#REF!</v>
      </c>
      <c r="W67" s="853" t="e">
        <f>Haushalt!#REF!</f>
        <v>#REF!</v>
      </c>
      <c r="X67" s="20"/>
      <c r="Y67" s="20"/>
    </row>
    <row r="68" spans="1:25" outlineLevel="1">
      <c r="A68" s="874" t="s">
        <v>404</v>
      </c>
      <c r="B68" s="874" t="s">
        <v>405</v>
      </c>
      <c r="C68" s="876" t="s">
        <v>399</v>
      </c>
      <c r="D68" s="866">
        <f>Haushalt!G205</f>
        <v>500</v>
      </c>
      <c r="E68" s="887">
        <f>HHJ_2024_2025!H225</f>
        <v>0</v>
      </c>
      <c r="F68" s="866">
        <f>Haushalt!I205</f>
        <v>200</v>
      </c>
      <c r="G68" s="868" t="e">
        <f>Haushalt!#REF!</f>
        <v>#REF!</v>
      </c>
      <c r="H68" s="869">
        <v>0</v>
      </c>
      <c r="I68" s="870">
        <v>300</v>
      </c>
      <c r="J68" s="886">
        <v>0</v>
      </c>
      <c r="K68" s="852">
        <v>300</v>
      </c>
      <c r="L68" s="853">
        <f>Haushalt!O$205</f>
        <v>0</v>
      </c>
      <c r="M68" s="853">
        <f>Haushalt!P$205</f>
        <v>0</v>
      </c>
      <c r="N68" s="853">
        <f>Haushalt!Q$205</f>
        <v>0</v>
      </c>
      <c r="O68" s="853">
        <f>Haushalt!R$205</f>
        <v>0</v>
      </c>
      <c r="P68" s="853">
        <f>Haushalt!S$205</f>
        <v>0</v>
      </c>
      <c r="Q68" s="853">
        <f>Haushalt!T$205</f>
        <v>0</v>
      </c>
      <c r="R68" s="853">
        <f>Haushalt!U$205</f>
        <v>0</v>
      </c>
      <c r="S68" s="853">
        <f>Haushalt!V$205</f>
        <v>0</v>
      </c>
      <c r="T68" s="853">
        <f>Haushalt!W$205</f>
        <v>0</v>
      </c>
      <c r="U68" s="853" t="e">
        <f>Haushalt!#REF!</f>
        <v>#REF!</v>
      </c>
      <c r="V68" s="853" t="e">
        <f>Haushalt!#REF!</f>
        <v>#REF!</v>
      </c>
      <c r="W68" s="853" t="e">
        <f>Haushalt!#REF!</f>
        <v>#REF!</v>
      </c>
      <c r="X68" s="20"/>
      <c r="Y68" s="20"/>
    </row>
    <row r="69" spans="1:25" outlineLevel="1">
      <c r="A69" s="874" t="s">
        <v>416</v>
      </c>
      <c r="B69" s="874" t="s">
        <v>417</v>
      </c>
      <c r="C69" s="876" t="s">
        <v>1134</v>
      </c>
      <c r="D69" s="866">
        <f>Haushalt!G211</f>
        <v>600</v>
      </c>
      <c r="E69" s="887">
        <f>HHJ_2024_2025!H224</f>
        <v>0</v>
      </c>
      <c r="F69" s="866">
        <f>Haushalt!I211</f>
        <v>500</v>
      </c>
      <c r="G69" s="868" t="e">
        <f>Haushalt!#REF!</f>
        <v>#REF!</v>
      </c>
      <c r="H69" s="869">
        <v>0</v>
      </c>
      <c r="I69" s="870">
        <v>500</v>
      </c>
      <c r="J69" s="886">
        <v>0</v>
      </c>
      <c r="K69" s="852">
        <v>500</v>
      </c>
      <c r="L69" s="853">
        <f>Haushalt!O$211</f>
        <v>0</v>
      </c>
      <c r="M69" s="853">
        <f>Haushalt!P$211</f>
        <v>0</v>
      </c>
      <c r="N69" s="853">
        <f>Haushalt!Q$211</f>
        <v>0</v>
      </c>
      <c r="O69" s="853">
        <f>Haushalt!R$211</f>
        <v>0</v>
      </c>
      <c r="P69" s="853">
        <f>Haushalt!S$211</f>
        <v>0</v>
      </c>
      <c r="Q69" s="853">
        <f>Haushalt!T$211</f>
        <v>0</v>
      </c>
      <c r="R69" s="853">
        <f>Haushalt!U$211</f>
        <v>0</v>
      </c>
      <c r="S69" s="853">
        <f>Haushalt!V$211</f>
        <v>0</v>
      </c>
      <c r="T69" s="853">
        <f>Haushalt!W$211</f>
        <v>0</v>
      </c>
      <c r="U69" s="853" t="e">
        <f>Haushalt!#REF!</f>
        <v>#REF!</v>
      </c>
      <c r="V69" s="853" t="e">
        <f>Haushalt!#REF!</f>
        <v>#REF!</v>
      </c>
      <c r="W69" s="853" t="e">
        <f>Haushalt!#REF!</f>
        <v>#REF!</v>
      </c>
      <c r="X69" s="20"/>
      <c r="Y69" s="20"/>
    </row>
    <row r="70" spans="1:25" outlineLevel="1">
      <c r="A70" s="874" t="s">
        <v>428</v>
      </c>
      <c r="B70" s="874" t="s">
        <v>1020</v>
      </c>
      <c r="C70" s="876" t="s">
        <v>1135</v>
      </c>
      <c r="D70" s="866">
        <f>Haushalt!G217</f>
        <v>2620</v>
      </c>
      <c r="E70" s="887">
        <f>HHJ_2024_2025!H226</f>
        <v>30</v>
      </c>
      <c r="F70" s="866">
        <f>Haushalt!I217</f>
        <v>0</v>
      </c>
      <c r="G70" s="868" t="e">
        <f>Haushalt!#REF!</f>
        <v>#REF!</v>
      </c>
      <c r="H70" s="869">
        <v>0</v>
      </c>
      <c r="I70" s="870">
        <v>500</v>
      </c>
      <c r="J70" s="886">
        <v>0</v>
      </c>
      <c r="K70" s="852">
        <v>500</v>
      </c>
      <c r="L70" s="853">
        <f>Haushalt!O$217</f>
        <v>0</v>
      </c>
      <c r="M70" s="853">
        <f>Haushalt!P$217</f>
        <v>0</v>
      </c>
      <c r="N70" s="853">
        <f>Haushalt!Q$217</f>
        <v>0</v>
      </c>
      <c r="O70" s="853">
        <f>Haushalt!R$217</f>
        <v>0</v>
      </c>
      <c r="P70" s="853">
        <f>Haushalt!S$217</f>
        <v>0</v>
      </c>
      <c r="Q70" s="853">
        <f>Haushalt!T$217</f>
        <v>0</v>
      </c>
      <c r="R70" s="853">
        <f>Haushalt!U$217</f>
        <v>0</v>
      </c>
      <c r="S70" s="853">
        <f>Haushalt!V$217</f>
        <v>0</v>
      </c>
      <c r="T70" s="853">
        <f>Haushalt!W$217</f>
        <v>0</v>
      </c>
      <c r="U70" s="853" t="e">
        <f>Haushalt!#REF!</f>
        <v>#REF!</v>
      </c>
      <c r="V70" s="853" t="e">
        <f>Haushalt!#REF!</f>
        <v>#REF!</v>
      </c>
      <c r="W70" s="853" t="e">
        <f>Haushalt!#REF!</f>
        <v>#REF!</v>
      </c>
      <c r="X70" s="20"/>
      <c r="Y70" s="20"/>
    </row>
    <row r="71" spans="1:25" outlineLevel="1">
      <c r="A71" s="874" t="s">
        <v>440</v>
      </c>
      <c r="B71" s="874" t="s">
        <v>1020</v>
      </c>
      <c r="C71" s="882" t="s">
        <v>1136</v>
      </c>
      <c r="D71" s="866">
        <f>Haushalt!G223</f>
        <v>1000</v>
      </c>
      <c r="E71" s="887"/>
      <c r="F71" s="866">
        <f>Haushalt!I223</f>
        <v>1000</v>
      </c>
      <c r="G71" s="868" t="e">
        <f>Haushalt!#REF!</f>
        <v>#REF!</v>
      </c>
      <c r="H71" s="869">
        <v>0</v>
      </c>
      <c r="I71" s="870">
        <v>500</v>
      </c>
      <c r="J71" s="886">
        <v>0</v>
      </c>
      <c r="K71" s="852">
        <v>500</v>
      </c>
      <c r="L71" s="853">
        <f>Haushalt!O$223</f>
        <v>0</v>
      </c>
      <c r="M71" s="853">
        <f>Haushalt!P$223</f>
        <v>0</v>
      </c>
      <c r="N71" s="853">
        <f>Haushalt!Q$223</f>
        <v>0</v>
      </c>
      <c r="O71" s="853">
        <f>Haushalt!R$223</f>
        <v>0</v>
      </c>
      <c r="P71" s="853">
        <f>Haushalt!S$223</f>
        <v>0</v>
      </c>
      <c r="Q71" s="853">
        <f>Haushalt!T$223</f>
        <v>0</v>
      </c>
      <c r="R71" s="853">
        <f>Haushalt!U$223</f>
        <v>0</v>
      </c>
      <c r="S71" s="853">
        <f>Haushalt!V$223</f>
        <v>0</v>
      </c>
      <c r="T71" s="853">
        <f>Haushalt!W$223</f>
        <v>35</v>
      </c>
      <c r="U71" s="853" t="e">
        <f>Haushalt!#REF!</f>
        <v>#REF!</v>
      </c>
      <c r="V71" s="853" t="e">
        <f>Haushalt!#REF!</f>
        <v>#REF!</v>
      </c>
      <c r="W71" s="853" t="e">
        <f>Haushalt!#REF!</f>
        <v>#REF!</v>
      </c>
      <c r="X71" s="20"/>
      <c r="Y71" s="20"/>
    </row>
    <row r="72" spans="1:25" ht="15" outlineLevel="1" thickBot="1">
      <c r="A72" s="874" t="s">
        <v>464</v>
      </c>
      <c r="B72" s="874" t="s">
        <v>1023</v>
      </c>
      <c r="C72" s="883" t="s">
        <v>1137</v>
      </c>
      <c r="D72" s="226">
        <f>Haushalt!G235/5</f>
        <v>584</v>
      </c>
      <c r="E72" s="887">
        <f>HHJ_2024_2025!H227</f>
        <v>0</v>
      </c>
      <c r="F72" s="226">
        <f>Haushalt!I235/5</f>
        <v>490</v>
      </c>
      <c r="G72" s="354" t="e">
        <f>Haushalt!#REF!/5</f>
        <v>#REF!</v>
      </c>
      <c r="H72" s="884">
        <v>0</v>
      </c>
      <c r="I72" s="885">
        <v>200</v>
      </c>
      <c r="J72" s="886">
        <v>0</v>
      </c>
      <c r="K72" s="852">
        <v>0</v>
      </c>
      <c r="L72" s="853">
        <f>Haushalt!O$235/5</f>
        <v>0</v>
      </c>
      <c r="M72" s="853">
        <f>Haushalt!P$235/5</f>
        <v>0</v>
      </c>
      <c r="N72" s="853">
        <f>Haushalt!Q$235/5</f>
        <v>0</v>
      </c>
      <c r="O72" s="853">
        <f>Haushalt!R$235/5</f>
        <v>0</v>
      </c>
      <c r="P72" s="853">
        <f>Haushalt!S$235/5</f>
        <v>0</v>
      </c>
      <c r="Q72" s="853">
        <f>Haushalt!T$235/5</f>
        <v>0</v>
      </c>
      <c r="R72" s="853">
        <f>Haushalt!U$235/5</f>
        <v>0</v>
      </c>
      <c r="S72" s="853">
        <f>Haushalt!V$235/5</f>
        <v>0</v>
      </c>
      <c r="T72" s="853">
        <f>Haushalt!W$235/5</f>
        <v>0</v>
      </c>
      <c r="U72" s="853" t="e">
        <f>Haushalt!#REF!/5</f>
        <v>#REF!</v>
      </c>
      <c r="V72" s="853" t="e">
        <f>Haushalt!#REF!/5</f>
        <v>#REF!</v>
      </c>
      <c r="W72" s="853" t="e">
        <f>Haushalt!#REF!/5</f>
        <v>#REF!</v>
      </c>
      <c r="X72" s="20"/>
      <c r="Y72" s="20"/>
    </row>
    <row r="73" spans="1:25">
      <c r="A73" s="209"/>
      <c r="B73" s="210"/>
      <c r="C73" s="211" t="s">
        <v>1079</v>
      </c>
      <c r="D73" s="364">
        <f t="shared" ref="D73:T73" si="19">SUM(D60:D72)</f>
        <v>50644</v>
      </c>
      <c r="E73" s="269">
        <f t="shared" si="19"/>
        <v>13718.35</v>
      </c>
      <c r="F73" s="360">
        <f t="shared" si="19"/>
        <v>49590</v>
      </c>
      <c r="G73" s="212" t="e">
        <f t="shared" ref="G73:H73" si="20">SUM(G60:G72)</f>
        <v>#REF!</v>
      </c>
      <c r="H73" s="360">
        <f t="shared" si="20"/>
        <v>10579.42</v>
      </c>
      <c r="I73" s="212">
        <f t="shared" ref="I73" si="21">SUM(I60:I72)</f>
        <v>24100</v>
      </c>
      <c r="J73" s="396">
        <v>11623.15</v>
      </c>
      <c r="K73" s="396">
        <f>SUM(K60:K72)</f>
        <v>23900</v>
      </c>
      <c r="L73" s="324">
        <f t="shared" si="19"/>
        <v>134.32</v>
      </c>
      <c r="M73" s="314">
        <f t="shared" ref="M73" si="22">SUM(M60:M72)</f>
        <v>268.64</v>
      </c>
      <c r="N73" s="314">
        <f t="shared" si="19"/>
        <v>402.96</v>
      </c>
      <c r="O73" s="314">
        <f t="shared" si="19"/>
        <v>537.28</v>
      </c>
      <c r="P73" s="314">
        <f t="shared" ref="P73" si="23">SUM(P60:P72)</f>
        <v>671.6</v>
      </c>
      <c r="Q73" s="314">
        <f t="shared" si="19"/>
        <v>993.3599999999999</v>
      </c>
      <c r="R73" s="314">
        <f t="shared" si="19"/>
        <v>2375.08</v>
      </c>
      <c r="S73" s="314">
        <f t="shared" si="19"/>
        <v>2509.4</v>
      </c>
      <c r="T73" s="314">
        <f t="shared" si="19"/>
        <v>2752.09</v>
      </c>
      <c r="U73" s="314" t="e">
        <f t="shared" ref="U73:V73" si="24">SUM(U60:U72)</f>
        <v>#REF!</v>
      </c>
      <c r="V73" s="314" t="e">
        <f t="shared" si="24"/>
        <v>#REF!</v>
      </c>
      <c r="W73" s="306" t="e">
        <f t="shared" ref="W73" si="25">SUM(W60:W72)</f>
        <v>#REF!</v>
      </c>
      <c r="X73" s="20"/>
      <c r="Y73" s="20"/>
    </row>
    <row r="74" spans="1:25" ht="15" thickBot="1">
      <c r="A74" s="214"/>
      <c r="B74" s="215"/>
      <c r="C74" s="216" t="s">
        <v>1140</v>
      </c>
      <c r="D74" s="365">
        <f>SUM(D12+D13+D14)-D73</f>
        <v>-21422</v>
      </c>
      <c r="E74" s="217">
        <f>M17-E73</f>
        <v>-13718.35</v>
      </c>
      <c r="F74" s="361">
        <f>SUM(F12+F13+F14)-F73</f>
        <v>-25590</v>
      </c>
      <c r="G74" s="217" t="e">
        <f>SUM(G12+G13+G14)-G73</f>
        <v>#REF!</v>
      </c>
      <c r="H74" s="361">
        <f>SUM(H12+H13+H14)-H73</f>
        <v>-10579.42</v>
      </c>
      <c r="I74" s="217">
        <f>SUM(I12+I13+I14)-I73</f>
        <v>-19600</v>
      </c>
      <c r="J74" s="397">
        <v>-11623.15</v>
      </c>
      <c r="K74" s="397">
        <f>SUM(K12+K13+K14)-K73</f>
        <v>-23900</v>
      </c>
      <c r="L74" s="325">
        <f t="shared" ref="L74:T74" si="26">L12-L73</f>
        <v>-134.32</v>
      </c>
      <c r="M74" s="315">
        <f t="shared" si="26"/>
        <v>-268.64</v>
      </c>
      <c r="N74" s="315">
        <f t="shared" si="26"/>
        <v>-402.96</v>
      </c>
      <c r="O74" s="315">
        <f t="shared" si="26"/>
        <v>-537.28</v>
      </c>
      <c r="P74" s="315">
        <f t="shared" ref="P74" si="27">P12-P73</f>
        <v>-671.6</v>
      </c>
      <c r="Q74" s="315">
        <f t="shared" si="26"/>
        <v>-993.3599999999999</v>
      </c>
      <c r="R74" s="315">
        <f t="shared" si="26"/>
        <v>-2375.08</v>
      </c>
      <c r="S74" s="315">
        <f t="shared" si="26"/>
        <v>-2509.4</v>
      </c>
      <c r="T74" s="315">
        <f t="shared" si="26"/>
        <v>-2752.09</v>
      </c>
      <c r="U74" s="315" t="e">
        <f t="shared" ref="U74:V74" si="28">U12-U73</f>
        <v>#REF!</v>
      </c>
      <c r="V74" s="315" t="e">
        <f t="shared" si="28"/>
        <v>#REF!</v>
      </c>
      <c r="W74" s="307" t="e">
        <f t="shared" ref="W74" si="29">W12-W73</f>
        <v>#REF!</v>
      </c>
      <c r="X74" s="20"/>
      <c r="Y74" s="20"/>
    </row>
    <row r="75" spans="1:25">
      <c r="A75" s="219"/>
      <c r="B75" s="219"/>
      <c r="C75" s="219"/>
      <c r="D75" s="245"/>
      <c r="E75" s="245"/>
      <c r="F75" s="245"/>
      <c r="G75" s="245"/>
      <c r="H75" s="245"/>
      <c r="I75" s="245"/>
      <c r="J75" s="389"/>
      <c r="K75" s="389"/>
      <c r="L75" s="246"/>
      <c r="M75" s="246"/>
      <c r="N75" s="246"/>
      <c r="O75" s="246"/>
      <c r="P75" s="246"/>
      <c r="Q75" s="246"/>
      <c r="R75" s="246"/>
      <c r="S75" s="246"/>
      <c r="T75" s="246"/>
      <c r="U75" s="246"/>
      <c r="V75" s="246"/>
      <c r="W75" s="246"/>
      <c r="X75" s="20"/>
      <c r="Y75" s="20"/>
    </row>
    <row r="76" spans="1:25">
      <c r="A76" s="219"/>
      <c r="B76" s="219"/>
      <c r="C76" s="219"/>
      <c r="D76" s="245"/>
      <c r="E76" s="245"/>
      <c r="F76" s="245"/>
      <c r="G76" s="245"/>
      <c r="H76" s="245"/>
      <c r="I76" s="245"/>
      <c r="J76" s="389"/>
      <c r="K76" s="389"/>
      <c r="L76" s="246"/>
      <c r="M76" s="246"/>
      <c r="N76" s="246"/>
      <c r="O76" s="246"/>
      <c r="P76" s="246"/>
      <c r="Q76" s="246"/>
      <c r="R76" s="246"/>
      <c r="S76" s="246"/>
      <c r="T76" s="246"/>
      <c r="U76" s="246"/>
      <c r="V76" s="246"/>
      <c r="W76" s="246"/>
      <c r="X76" s="20"/>
      <c r="Y76" s="20"/>
    </row>
    <row r="77" spans="1:25" ht="15" thickBot="1">
      <c r="A77" s="219"/>
      <c r="B77" s="219"/>
      <c r="C77" s="219"/>
      <c r="D77" s="83"/>
      <c r="E77" s="83"/>
      <c r="F77" s="83"/>
      <c r="G77" s="83"/>
      <c r="H77" s="83"/>
      <c r="I77" s="83"/>
      <c r="J77" s="94"/>
      <c r="K77" s="94"/>
      <c r="L77" s="96"/>
      <c r="M77" s="96"/>
      <c r="N77" s="96"/>
      <c r="O77" s="96"/>
      <c r="P77" s="96"/>
      <c r="Q77" s="96"/>
      <c r="R77" s="96"/>
      <c r="S77" s="96"/>
      <c r="T77" s="96"/>
      <c r="U77" s="96"/>
      <c r="V77" s="96"/>
      <c r="W77" s="96"/>
      <c r="X77" s="20"/>
      <c r="Y77" s="20"/>
    </row>
    <row r="78" spans="1:25" ht="15" thickBot="1">
      <c r="A78" s="238" t="s">
        <v>1025</v>
      </c>
      <c r="B78" s="239"/>
      <c r="C78" s="243" t="s">
        <v>1026</v>
      </c>
      <c r="D78" s="83"/>
      <c r="E78" s="101"/>
      <c r="F78" s="83"/>
      <c r="G78" s="83"/>
      <c r="H78" s="83"/>
      <c r="I78" s="83"/>
      <c r="J78" s="94"/>
      <c r="K78" s="94"/>
      <c r="L78" s="96"/>
      <c r="M78" s="96"/>
      <c r="N78" s="96"/>
      <c r="O78" s="96"/>
      <c r="P78" s="96"/>
      <c r="Q78" s="96"/>
      <c r="R78" s="96"/>
      <c r="S78" s="96"/>
      <c r="T78" s="96"/>
      <c r="U78" s="90"/>
      <c r="V78" s="90"/>
      <c r="W78" s="96"/>
      <c r="X78" s="20"/>
      <c r="Y78" s="20"/>
    </row>
    <row r="79" spans="1:25" outlineLevel="2">
      <c r="A79" s="863" t="s">
        <v>157</v>
      </c>
      <c r="B79" s="863" t="s">
        <v>1027</v>
      </c>
      <c r="C79" s="864" t="s">
        <v>1127</v>
      </c>
      <c r="D79" s="225">
        <f>800*12</f>
        <v>9600</v>
      </c>
      <c r="E79" s="268">
        <v>9600</v>
      </c>
      <c r="F79" s="225">
        <f>800*12</f>
        <v>9600</v>
      </c>
      <c r="G79" s="353">
        <f>800*12</f>
        <v>9600</v>
      </c>
      <c r="H79" s="357">
        <v>7680</v>
      </c>
      <c r="I79" s="356">
        <v>9600</v>
      </c>
      <c r="J79" s="385">
        <v>7680</v>
      </c>
      <c r="K79" s="385">
        <v>9600</v>
      </c>
      <c r="L79" s="298">
        <f>AE_Zuweisung_Fachschaften!E$49</f>
        <v>0</v>
      </c>
      <c r="M79" s="298">
        <f>AE_Zuweisung_Fachschaften!E$49+AE_Zuweisung_Fachschaften!F$49</f>
        <v>0</v>
      </c>
      <c r="N79" s="298">
        <f>AE_Zuweisung_Fachschaften!E$49+AE_Zuweisung_Fachschaften!F$49+AE_Zuweisung_Fachschaften!G$49</f>
        <v>0</v>
      </c>
      <c r="O79" s="298">
        <f>AE_Zuweisung_Fachschaften!E$49+AE_Zuweisung_Fachschaften!F$49+AE_Zuweisung_Fachschaften!G$49+AE_Zuweisung_Fachschaften!H$49</f>
        <v>0</v>
      </c>
      <c r="P79" s="298">
        <f>AE_Zuweisung_Fachschaften!E$49+AE_Zuweisung_Fachschaften!F$49+AE_Zuweisung_Fachschaften!G$49+AE_Zuweisung_Fachschaften!H$49+AE_Zuweisung_Fachschaften!I$49</f>
        <v>0</v>
      </c>
      <c r="Q79" s="298">
        <f>AE_Zuweisung_Fachschaften!E$49+AE_Zuweisung_Fachschaften!F$49+AE_Zuweisung_Fachschaften!G$49+AE_Zuweisung_Fachschaften!H$49+AE_Zuweisung_Fachschaften!I$49+AE_Zuweisung_Fachschaften!J$49</f>
        <v>0</v>
      </c>
      <c r="R79" s="298">
        <f>AE_Zuweisung_Fachschaften!E$49+AE_Zuweisung_Fachschaften!F$49+AE_Zuweisung_Fachschaften!G$49+AE_Zuweisung_Fachschaften!H$49+AE_Zuweisung_Fachschaften!I$49+AE_Zuweisung_Fachschaften!J$49+AE_Zuweisung_Fachschaften!K$49</f>
        <v>0</v>
      </c>
      <c r="S79" s="298">
        <f>AE_Zuweisung_Fachschaften!E$49+AE_Zuweisung_Fachschaften!F$49+AE_Zuweisung_Fachschaften!G$49+AE_Zuweisung_Fachschaften!H$49+AE_Zuweisung_Fachschaften!I$49+AE_Zuweisung_Fachschaften!J$49+AE_Zuweisung_Fachschaften!K$49+AE_Zuweisung_Fachschaften!L$49</f>
        <v>0</v>
      </c>
      <c r="T79" s="298">
        <f>AE_Zuweisung_Fachschaften!E$49+AE_Zuweisung_Fachschaften!F$49+AE_Zuweisung_Fachschaften!G$49+AE_Zuweisung_Fachschaften!H$49+AE_Zuweisung_Fachschaften!I$49+AE_Zuweisung_Fachschaften!J$49+AE_Zuweisung_Fachschaften!K$49+AE_Zuweisung_Fachschaften!L$49+AE_Zuweisung_Fachschaften!M$49</f>
        <v>0</v>
      </c>
      <c r="U79" s="298">
        <f>AE_Zuweisung_Fachschaften!E$49+AE_Zuweisung_Fachschaften!F$49+AE_Zuweisung_Fachschaften!G$49+AE_Zuweisung_Fachschaften!H$49+AE_Zuweisung_Fachschaften!I$49+AE_Zuweisung_Fachschaften!J$49+AE_Zuweisung_Fachschaften!K$49+AE_Zuweisung_Fachschaften!L$49+AE_Zuweisung_Fachschaften!M$49+AE_Zuweisung_Fachschaften!N$49</f>
        <v>0</v>
      </c>
      <c r="V79" s="298">
        <f>AE_Zuweisung_Fachschaften!E$49+AE_Zuweisung_Fachschaften!F$49+AE_Zuweisung_Fachschaften!G$49+AE_Zuweisung_Fachschaften!H$49+AE_Zuweisung_Fachschaften!I$49+AE_Zuweisung_Fachschaften!J$49+AE_Zuweisung_Fachschaften!K$49+AE_Zuweisung_Fachschaften!L$49+AE_Zuweisung_Fachschaften!M$49+AE_Zuweisung_Fachschaften!N$49+AE_Zuweisung_Fachschaften!O$49</f>
        <v>0</v>
      </c>
      <c r="W79" s="298">
        <f>AE_Zuweisung_Fachschaften!E$49+AE_Zuweisung_Fachschaften!F$49+AE_Zuweisung_Fachschaften!G$49+AE_Zuweisung_Fachschaften!H$49+AE_Zuweisung_Fachschaften!I$49+AE_Zuweisung_Fachschaften!J$49+AE_Zuweisung_Fachschaften!K$49+AE_Zuweisung_Fachschaften!L$49+AE_Zuweisung_Fachschaften!M$49+AE_Zuweisung_Fachschaften!N$49+AE_Zuweisung_Fachschaften!O$49+AE_Zuweisung_Fachschaften!P$49</f>
        <v>0</v>
      </c>
      <c r="X79" s="20"/>
      <c r="Y79" s="20"/>
    </row>
    <row r="80" spans="1:25" outlineLevel="2">
      <c r="A80" s="865" t="s">
        <v>171</v>
      </c>
      <c r="B80" s="865" t="s">
        <v>1027</v>
      </c>
      <c r="C80" s="864" t="s">
        <v>1128</v>
      </c>
      <c r="D80" s="866">
        <f>Haushalt!G92</f>
        <v>5000</v>
      </c>
      <c r="E80" s="867">
        <f>HHJ_2024_2025!H229-E79</f>
        <v>2455</v>
      </c>
      <c r="F80" s="866">
        <f>Haushalt!I92</f>
        <v>4400</v>
      </c>
      <c r="G80" s="868" t="e">
        <f>Haushalt!#REF!</f>
        <v>#REF!</v>
      </c>
      <c r="H80" s="869">
        <v>1860</v>
      </c>
      <c r="I80" s="870">
        <v>4400</v>
      </c>
      <c r="J80" s="886">
        <v>785</v>
      </c>
      <c r="K80" s="852">
        <v>4400</v>
      </c>
      <c r="L80" s="853">
        <f>Haushalt!O92</f>
        <v>220</v>
      </c>
      <c r="M80" s="853">
        <f>Haushalt!P92</f>
        <v>765</v>
      </c>
      <c r="N80" s="853">
        <f>Haushalt!Q92</f>
        <v>765</v>
      </c>
      <c r="O80" s="853">
        <f>Haushalt!R92</f>
        <v>850</v>
      </c>
      <c r="P80" s="853">
        <f>Haushalt!S92</f>
        <v>950</v>
      </c>
      <c r="Q80" s="853">
        <f>Haushalt!T92</f>
        <v>950</v>
      </c>
      <c r="R80" s="853">
        <f>Haushalt!U92</f>
        <v>1585</v>
      </c>
      <c r="S80" s="853">
        <f>Haushalt!V92</f>
        <v>1865</v>
      </c>
      <c r="T80" s="853">
        <f>Haushalt!W92</f>
        <v>1985</v>
      </c>
      <c r="U80" s="853"/>
      <c r="V80" s="853"/>
      <c r="W80" s="853"/>
      <c r="X80" s="20"/>
      <c r="Y80" s="20"/>
    </row>
    <row r="81" spans="1:25" outlineLevel="2">
      <c r="A81" s="865" t="s">
        <v>281</v>
      </c>
      <c r="B81" s="865" t="s">
        <v>282</v>
      </c>
      <c r="C81" s="871" t="s">
        <v>1129</v>
      </c>
      <c r="D81" s="866">
        <f>Haushalt!G140</f>
        <v>7800</v>
      </c>
      <c r="E81" s="867">
        <f>HHJ_2024_2025!H230</f>
        <v>2926.88</v>
      </c>
      <c r="F81" s="866">
        <f>Haushalt!I140</f>
        <v>12000</v>
      </c>
      <c r="G81" s="868" t="e">
        <f>Haushalt!#REF!</f>
        <v>#REF!</v>
      </c>
      <c r="H81" s="869">
        <v>3131.09</v>
      </c>
      <c r="I81" s="870">
        <v>6000</v>
      </c>
      <c r="J81" s="886">
        <v>1401.96</v>
      </c>
      <c r="K81" s="852">
        <v>6000</v>
      </c>
      <c r="L81" s="853">
        <f>Haushalt!O$140</f>
        <v>247.8</v>
      </c>
      <c r="M81" s="853">
        <f>Haushalt!P$140</f>
        <v>1936.75</v>
      </c>
      <c r="N81" s="853">
        <f>Haushalt!Q$140</f>
        <v>1936.75</v>
      </c>
      <c r="O81" s="853">
        <f>Haushalt!R$140</f>
        <v>2072.9499999999998</v>
      </c>
      <c r="P81" s="853">
        <f>Haushalt!S$140</f>
        <v>2347.4499999999998</v>
      </c>
      <c r="Q81" s="853">
        <f>Haushalt!T$140</f>
        <v>2511.4499999999998</v>
      </c>
      <c r="R81" s="853">
        <f>Haushalt!U$140</f>
        <v>3724.05</v>
      </c>
      <c r="S81" s="853">
        <f>Haushalt!V$140</f>
        <v>4654.1499999999996</v>
      </c>
      <c r="T81" s="853">
        <f>Haushalt!W$140</f>
        <v>4714.1499999999996</v>
      </c>
      <c r="U81" s="853" t="e">
        <f>Haushalt!#REF!</f>
        <v>#REF!</v>
      </c>
      <c r="V81" s="853" t="e">
        <f>Haushalt!#REF!</f>
        <v>#REF!</v>
      </c>
      <c r="W81" s="853" t="e">
        <f>Haushalt!#REF!</f>
        <v>#REF!</v>
      </c>
      <c r="X81" s="20"/>
      <c r="Y81" s="20"/>
    </row>
    <row r="82" spans="1:25" outlineLevel="2">
      <c r="A82" s="865" t="s">
        <v>308</v>
      </c>
      <c r="B82" s="865" t="s">
        <v>309</v>
      </c>
      <c r="C82" s="864" t="s">
        <v>1130</v>
      </c>
      <c r="D82" s="866">
        <f>Haushalt!G152</f>
        <v>1700</v>
      </c>
      <c r="E82" s="867">
        <f>HHJ_2024_2025!H232</f>
        <v>1335.69</v>
      </c>
      <c r="F82" s="866">
        <f>Haushalt!I152</f>
        <v>2500</v>
      </c>
      <c r="G82" s="868" t="e">
        <f>Haushalt!#REF!</f>
        <v>#REF!</v>
      </c>
      <c r="H82" s="869">
        <v>1281.51</v>
      </c>
      <c r="I82" s="870">
        <v>2500</v>
      </c>
      <c r="J82" s="886">
        <v>3007.13</v>
      </c>
      <c r="K82" s="852">
        <v>2500</v>
      </c>
      <c r="L82" s="888">
        <f>Haushalt!O$152</f>
        <v>218.43</v>
      </c>
      <c r="M82" s="888">
        <f>Haushalt!P$152</f>
        <v>1195.96</v>
      </c>
      <c r="N82" s="888">
        <f>Haushalt!Q$152</f>
        <v>1330.28</v>
      </c>
      <c r="O82" s="888">
        <f>Haushalt!R$152</f>
        <v>1559.1</v>
      </c>
      <c r="P82" s="888">
        <f>Haushalt!S$152</f>
        <v>1752.42</v>
      </c>
      <c r="Q82" s="888">
        <f>Haushalt!T$152</f>
        <v>1886.7399999999998</v>
      </c>
      <c r="R82" s="888">
        <f>Haushalt!U$152</f>
        <v>2330.7200000000003</v>
      </c>
      <c r="S82" s="888">
        <f>Haushalt!V$152</f>
        <v>2645.12</v>
      </c>
      <c r="T82" s="888">
        <f>Haushalt!W$152</f>
        <v>3048.57</v>
      </c>
      <c r="U82" s="888" t="e">
        <f>Haushalt!#REF!</f>
        <v>#REF!</v>
      </c>
      <c r="V82" s="888" t="e">
        <f>Haushalt!#REF!</f>
        <v>#REF!</v>
      </c>
      <c r="W82" s="888" t="e">
        <f>Haushalt!#REF!</f>
        <v>#REF!</v>
      </c>
      <c r="X82" s="20"/>
      <c r="Y82" s="20"/>
    </row>
    <row r="83" spans="1:25" outlineLevel="2">
      <c r="A83" s="865" t="s">
        <v>331</v>
      </c>
      <c r="B83" s="865" t="s">
        <v>332</v>
      </c>
      <c r="C83" s="872" t="s">
        <v>1131</v>
      </c>
      <c r="D83" s="866">
        <f>Haushalt!G164</f>
        <v>500</v>
      </c>
      <c r="E83" s="867">
        <f>HHJ_2024_2025!H233</f>
        <v>0</v>
      </c>
      <c r="F83" s="866">
        <f>Haushalt!I164</f>
        <v>500</v>
      </c>
      <c r="G83" s="868" t="e">
        <f>Haushalt!#REF!</f>
        <v>#REF!</v>
      </c>
      <c r="H83" s="869">
        <v>0</v>
      </c>
      <c r="I83" s="870">
        <v>500</v>
      </c>
      <c r="J83" s="886">
        <v>203.02</v>
      </c>
      <c r="K83" s="852">
        <v>500</v>
      </c>
      <c r="L83" s="888">
        <f>Haushalt!O$164</f>
        <v>0</v>
      </c>
      <c r="M83" s="888">
        <f>Haushalt!P$164</f>
        <v>0</v>
      </c>
      <c r="N83" s="888">
        <f>Haushalt!Q$164</f>
        <v>0</v>
      </c>
      <c r="O83" s="888">
        <f>Haushalt!R$164</f>
        <v>0</v>
      </c>
      <c r="P83" s="888">
        <f>Haushalt!S$164</f>
        <v>0</v>
      </c>
      <c r="Q83" s="888">
        <f>Haushalt!T$164</f>
        <v>0</v>
      </c>
      <c r="R83" s="888">
        <f>Haushalt!U$164</f>
        <v>0</v>
      </c>
      <c r="S83" s="888">
        <f>Haushalt!V$164</f>
        <v>0</v>
      </c>
      <c r="T83" s="888">
        <f>Haushalt!W$164</f>
        <v>0</v>
      </c>
      <c r="U83" s="888" t="e">
        <f>Haushalt!#REF!</f>
        <v>#REF!</v>
      </c>
      <c r="V83" s="888" t="e">
        <f>Haushalt!#REF!</f>
        <v>#REF!</v>
      </c>
      <c r="W83" s="888" t="e">
        <f>Haushalt!#REF!</f>
        <v>#REF!</v>
      </c>
      <c r="X83" s="20"/>
      <c r="Y83" s="20"/>
    </row>
    <row r="84" spans="1:25" outlineLevel="2">
      <c r="A84" s="865" t="s">
        <v>377</v>
      </c>
      <c r="B84" s="865" t="s">
        <v>1031</v>
      </c>
      <c r="C84" s="873" t="s">
        <v>1132</v>
      </c>
      <c r="D84" s="866">
        <f>Haushalt!G188</f>
        <v>25715</v>
      </c>
      <c r="E84" s="867">
        <f>HHJ_2024_2025!H231</f>
        <v>21264.22</v>
      </c>
      <c r="F84" s="866">
        <f>Haushalt!I188</f>
        <v>22000</v>
      </c>
      <c r="G84" s="868" t="e">
        <f>Haushalt!#REF!</f>
        <v>#REF!</v>
      </c>
      <c r="H84" s="869">
        <v>15581.06</v>
      </c>
      <c r="I84" s="870">
        <v>25000</v>
      </c>
      <c r="J84" s="886">
        <v>25703.75</v>
      </c>
      <c r="K84" s="852">
        <v>25000</v>
      </c>
      <c r="L84" s="888">
        <f>Haushalt!O$188</f>
        <v>0</v>
      </c>
      <c r="M84" s="888">
        <f>Haushalt!P$188</f>
        <v>880</v>
      </c>
      <c r="N84" s="888">
        <f>Haushalt!Q$188</f>
        <v>1760</v>
      </c>
      <c r="O84" s="888">
        <f>Haushalt!R$188</f>
        <v>1858.5</v>
      </c>
      <c r="P84" s="888">
        <f>Haushalt!S$188</f>
        <v>2585</v>
      </c>
      <c r="Q84" s="888">
        <f>Haushalt!T$188</f>
        <v>10985</v>
      </c>
      <c r="R84" s="888">
        <f>Haushalt!U$188</f>
        <v>10985</v>
      </c>
      <c r="S84" s="888">
        <f>Haushalt!V$188</f>
        <v>10985</v>
      </c>
      <c r="T84" s="888">
        <f>Haushalt!W$188</f>
        <v>10985</v>
      </c>
      <c r="U84" s="888" t="e">
        <f>Haushalt!#REF!</f>
        <v>#REF!</v>
      </c>
      <c r="V84" s="888" t="e">
        <f>Haushalt!#REF!</f>
        <v>#REF!</v>
      </c>
      <c r="W84" s="888" t="e">
        <f>Haushalt!#REF!</f>
        <v>#REF!</v>
      </c>
      <c r="X84" s="20"/>
      <c r="Y84" s="20"/>
    </row>
    <row r="85" spans="1:25" outlineLevel="2">
      <c r="A85" s="865" t="s">
        <v>388</v>
      </c>
      <c r="B85" s="865" t="s">
        <v>1031</v>
      </c>
      <c r="C85" s="864" t="s">
        <v>354</v>
      </c>
      <c r="D85" s="866">
        <f>Haushalt!G194</f>
        <v>2500</v>
      </c>
      <c r="E85" s="867"/>
      <c r="F85" s="866">
        <f>Haushalt!I194</f>
        <v>0</v>
      </c>
      <c r="G85" s="868" t="e">
        <f>Haushalt!#REF!</f>
        <v>#REF!</v>
      </c>
      <c r="H85" s="869">
        <v>3338.8</v>
      </c>
      <c r="I85" s="870">
        <v>3000</v>
      </c>
      <c r="J85" s="886">
        <v>0</v>
      </c>
      <c r="K85" s="852">
        <v>3000</v>
      </c>
      <c r="L85" s="888">
        <f>Haushalt!O$194</f>
        <v>0</v>
      </c>
      <c r="M85" s="888">
        <f>Haushalt!P$194</f>
        <v>0</v>
      </c>
      <c r="N85" s="888">
        <f>Haushalt!Q$194</f>
        <v>0</v>
      </c>
      <c r="O85" s="888">
        <f>Haushalt!R$194</f>
        <v>0</v>
      </c>
      <c r="P85" s="888">
        <f>Haushalt!S$194</f>
        <v>0</v>
      </c>
      <c r="Q85" s="888">
        <f>Haushalt!T$194</f>
        <v>0</v>
      </c>
      <c r="R85" s="888">
        <f>Haushalt!U$194</f>
        <v>0</v>
      </c>
      <c r="S85" s="888">
        <f>Haushalt!V$194</f>
        <v>0</v>
      </c>
      <c r="T85" s="888">
        <f>Haushalt!W$194</f>
        <v>800</v>
      </c>
      <c r="U85" s="888" t="e">
        <f>Haushalt!#REF!</f>
        <v>#REF!</v>
      </c>
      <c r="V85" s="888" t="e">
        <f>Haushalt!#REF!</f>
        <v>#REF!</v>
      </c>
      <c r="W85" s="888" t="e">
        <f>Haushalt!#REF!</f>
        <v>#REF!</v>
      </c>
      <c r="X85" s="20"/>
      <c r="Y85" s="20"/>
    </row>
    <row r="86" spans="1:25" outlineLevel="2">
      <c r="A86" s="865" t="s">
        <v>396</v>
      </c>
      <c r="B86" s="865" t="s">
        <v>1031</v>
      </c>
      <c r="C86" s="864" t="s">
        <v>1133</v>
      </c>
      <c r="D86" s="866">
        <f>Haushalt!G200</f>
        <v>500</v>
      </c>
      <c r="E86" s="867"/>
      <c r="F86" s="866">
        <f>Haushalt!I200</f>
        <v>0</v>
      </c>
      <c r="G86" s="868" t="e">
        <f>Haushalt!#REF!</f>
        <v>#REF!</v>
      </c>
      <c r="H86" s="869">
        <v>3338.8</v>
      </c>
      <c r="I86" s="870">
        <v>1000</v>
      </c>
      <c r="J86" s="886">
        <v>0</v>
      </c>
      <c r="K86" s="852">
        <v>1000</v>
      </c>
      <c r="L86" s="888">
        <f>Haushalt!O$200</f>
        <v>0</v>
      </c>
      <c r="M86" s="888">
        <f>Haushalt!P$200</f>
        <v>0</v>
      </c>
      <c r="N86" s="888">
        <f>Haushalt!Q$200</f>
        <v>0</v>
      </c>
      <c r="O86" s="888">
        <f>Haushalt!R$200</f>
        <v>0</v>
      </c>
      <c r="P86" s="888">
        <f>Haushalt!S$200</f>
        <v>0</v>
      </c>
      <c r="Q86" s="888">
        <f>Haushalt!T$200</f>
        <v>0</v>
      </c>
      <c r="R86" s="888">
        <f>Haushalt!U$200</f>
        <v>0</v>
      </c>
      <c r="S86" s="888">
        <f>Haushalt!V$200</f>
        <v>0</v>
      </c>
      <c r="T86" s="888">
        <f>Haushalt!W$200</f>
        <v>0</v>
      </c>
      <c r="U86" s="888" t="e">
        <f>Haushalt!#REF!</f>
        <v>#REF!</v>
      </c>
      <c r="V86" s="888" t="e">
        <f>Haushalt!#REF!</f>
        <v>#REF!</v>
      </c>
      <c r="W86" s="888" t="e">
        <f>Haushalt!#REF!</f>
        <v>#REF!</v>
      </c>
      <c r="X86" s="20"/>
      <c r="Y86" s="20"/>
    </row>
    <row r="87" spans="1:25" outlineLevel="2">
      <c r="A87" s="874" t="s">
        <v>406</v>
      </c>
      <c r="B87" s="874" t="s">
        <v>407</v>
      </c>
      <c r="C87" s="876" t="s">
        <v>399</v>
      </c>
      <c r="D87" s="866">
        <f>Haushalt!G206</f>
        <v>450</v>
      </c>
      <c r="E87" s="867">
        <f>HHJ_2024_2025!H235</f>
        <v>0</v>
      </c>
      <c r="F87" s="866">
        <f>Haushalt!I206</f>
        <v>0</v>
      </c>
      <c r="G87" s="868" t="e">
        <f>Haushalt!#REF!</f>
        <v>#REF!</v>
      </c>
      <c r="H87" s="869">
        <v>32</v>
      </c>
      <c r="I87" s="870">
        <v>300</v>
      </c>
      <c r="J87" s="886">
        <v>229.5</v>
      </c>
      <c r="K87" s="852">
        <v>300</v>
      </c>
      <c r="L87" s="853">
        <f>Haushalt!O$206</f>
        <v>0</v>
      </c>
      <c r="M87" s="853">
        <f>Haushalt!P$206</f>
        <v>0</v>
      </c>
      <c r="N87" s="853">
        <f>Haushalt!Q$206</f>
        <v>0</v>
      </c>
      <c r="O87" s="853">
        <f>Haushalt!R$206</f>
        <v>0</v>
      </c>
      <c r="P87" s="853">
        <f>Haushalt!S$206</f>
        <v>615.68000000000006</v>
      </c>
      <c r="Q87" s="853">
        <f>Haushalt!T$206</f>
        <v>615.68000000000006</v>
      </c>
      <c r="R87" s="853">
        <f>Haushalt!U$206</f>
        <v>646.97</v>
      </c>
      <c r="S87" s="853">
        <f>Haushalt!V$206</f>
        <v>646.97</v>
      </c>
      <c r="T87" s="853">
        <f>Haushalt!W$206</f>
        <v>646.97</v>
      </c>
      <c r="U87" s="853" t="e">
        <f>Haushalt!#REF!</f>
        <v>#REF!</v>
      </c>
      <c r="V87" s="853" t="e">
        <f>Haushalt!#REF!</f>
        <v>#REF!</v>
      </c>
      <c r="W87" s="853" t="e">
        <f>Haushalt!#REF!</f>
        <v>#REF!</v>
      </c>
      <c r="X87" s="20"/>
      <c r="Y87" s="20"/>
    </row>
    <row r="88" spans="1:25" outlineLevel="2">
      <c r="A88" s="874" t="s">
        <v>418</v>
      </c>
      <c r="B88" s="874" t="s">
        <v>419</v>
      </c>
      <c r="C88" s="876" t="s">
        <v>1134</v>
      </c>
      <c r="D88" s="866">
        <f>Haushalt!G212</f>
        <v>400</v>
      </c>
      <c r="E88" s="867">
        <f>HHJ_2024_2025!H234</f>
        <v>0</v>
      </c>
      <c r="F88" s="866">
        <f>Haushalt!I212</f>
        <v>1500</v>
      </c>
      <c r="G88" s="868" t="e">
        <f>Haushalt!#REF!</f>
        <v>#REF!</v>
      </c>
      <c r="H88" s="869">
        <v>0</v>
      </c>
      <c r="I88" s="870">
        <v>1500</v>
      </c>
      <c r="J88" s="886">
        <v>0</v>
      </c>
      <c r="K88" s="852">
        <v>1500</v>
      </c>
      <c r="L88" s="853">
        <f>Haushalt!O$212</f>
        <v>0</v>
      </c>
      <c r="M88" s="853">
        <f>Haushalt!P$212</f>
        <v>0</v>
      </c>
      <c r="N88" s="853">
        <f>Haushalt!Q$212</f>
        <v>0</v>
      </c>
      <c r="O88" s="853">
        <f>Haushalt!R$212</f>
        <v>0</v>
      </c>
      <c r="P88" s="853">
        <f>Haushalt!S$212</f>
        <v>0</v>
      </c>
      <c r="Q88" s="853">
        <f>Haushalt!T$212</f>
        <v>0</v>
      </c>
      <c r="R88" s="853">
        <f>Haushalt!U$212</f>
        <v>0</v>
      </c>
      <c r="S88" s="853">
        <f>Haushalt!V$212</f>
        <v>0</v>
      </c>
      <c r="T88" s="853">
        <f>Haushalt!W$212</f>
        <v>0</v>
      </c>
      <c r="U88" s="853" t="e">
        <f>Haushalt!#REF!</f>
        <v>#REF!</v>
      </c>
      <c r="V88" s="853" t="e">
        <f>Haushalt!#REF!</f>
        <v>#REF!</v>
      </c>
      <c r="W88" s="853" t="e">
        <f>Haushalt!#REF!</f>
        <v>#REF!</v>
      </c>
      <c r="X88" s="20"/>
      <c r="Y88" s="20"/>
    </row>
    <row r="89" spans="1:25" outlineLevel="2">
      <c r="A89" s="874" t="s">
        <v>430</v>
      </c>
      <c r="B89" s="874" t="s">
        <v>1038</v>
      </c>
      <c r="C89" s="876" t="s">
        <v>1135</v>
      </c>
      <c r="D89" s="866">
        <f>Haushalt!G218</f>
        <v>1700</v>
      </c>
      <c r="E89" s="867">
        <f>HHJ_2024_2025!H236</f>
        <v>2143.6</v>
      </c>
      <c r="F89" s="866">
        <f>Haushalt!I218</f>
        <v>0</v>
      </c>
      <c r="G89" s="868" t="e">
        <f>Haushalt!#REF!</f>
        <v>#REF!</v>
      </c>
      <c r="H89" s="869">
        <v>203.39</v>
      </c>
      <c r="I89" s="870">
        <v>100</v>
      </c>
      <c r="J89" s="886">
        <v>0</v>
      </c>
      <c r="K89" s="852">
        <v>100</v>
      </c>
      <c r="L89" s="853">
        <f>Haushalt!O$218</f>
        <v>0</v>
      </c>
      <c r="M89" s="853">
        <f>Haushalt!P$218</f>
        <v>0</v>
      </c>
      <c r="N89" s="853">
        <f>Haushalt!Q$218</f>
        <v>0</v>
      </c>
      <c r="O89" s="853">
        <f>Haushalt!R$218</f>
        <v>0</v>
      </c>
      <c r="P89" s="853">
        <f>Haushalt!S$218</f>
        <v>0</v>
      </c>
      <c r="Q89" s="853">
        <f>Haushalt!T$218</f>
        <v>0</v>
      </c>
      <c r="R89" s="853">
        <f>Haushalt!U$218</f>
        <v>0</v>
      </c>
      <c r="S89" s="853">
        <f>Haushalt!V$218</f>
        <v>0</v>
      </c>
      <c r="T89" s="853">
        <f>Haushalt!W$218</f>
        <v>0</v>
      </c>
      <c r="U89" s="853" t="e">
        <f>Haushalt!#REF!</f>
        <v>#REF!</v>
      </c>
      <c r="V89" s="853" t="e">
        <f>Haushalt!#REF!</f>
        <v>#REF!</v>
      </c>
      <c r="W89" s="853" t="e">
        <f>Haushalt!#REF!</f>
        <v>#REF!</v>
      </c>
      <c r="X89" s="20"/>
      <c r="Y89" s="20"/>
    </row>
    <row r="90" spans="1:25" outlineLevel="2">
      <c r="A90" s="874" t="s">
        <v>442</v>
      </c>
      <c r="B90" s="874" t="s">
        <v>1038</v>
      </c>
      <c r="C90" s="882" t="s">
        <v>1136</v>
      </c>
      <c r="D90" s="866">
        <f>Haushalt!G224</f>
        <v>3500</v>
      </c>
      <c r="E90" s="867"/>
      <c r="F90" s="866">
        <f>Haushalt!I224</f>
        <v>2000</v>
      </c>
      <c r="G90" s="868" t="e">
        <f>Haushalt!#REF!</f>
        <v>#REF!</v>
      </c>
      <c r="H90" s="869">
        <v>1830.52</v>
      </c>
      <c r="I90" s="870">
        <v>2500</v>
      </c>
      <c r="J90" s="886">
        <v>1754.48</v>
      </c>
      <c r="K90" s="852">
        <v>2500</v>
      </c>
      <c r="L90" s="853">
        <f>Haushalt!O$224</f>
        <v>99</v>
      </c>
      <c r="M90" s="853">
        <f>Haushalt!P$224</f>
        <v>198</v>
      </c>
      <c r="N90" s="853">
        <f>Haushalt!Q$224</f>
        <v>297</v>
      </c>
      <c r="O90" s="853">
        <f>Haushalt!R$224</f>
        <v>396</v>
      </c>
      <c r="P90" s="853">
        <f>Haushalt!S$224</f>
        <v>495</v>
      </c>
      <c r="Q90" s="853">
        <f>Haushalt!T$224</f>
        <v>594</v>
      </c>
      <c r="R90" s="853">
        <f>Haushalt!U$224</f>
        <v>750.93</v>
      </c>
      <c r="S90" s="853">
        <f>Haushalt!V$224</f>
        <v>1429.33</v>
      </c>
      <c r="T90" s="853">
        <f>Haushalt!W$224</f>
        <v>1528.33</v>
      </c>
      <c r="U90" s="853" t="e">
        <f>Haushalt!#REF!</f>
        <v>#REF!</v>
      </c>
      <c r="V90" s="853" t="e">
        <f>Haushalt!#REF!</f>
        <v>#REF!</v>
      </c>
      <c r="W90" s="853" t="e">
        <f>Haushalt!#REF!</f>
        <v>#REF!</v>
      </c>
      <c r="X90" s="20"/>
      <c r="Y90" s="20"/>
    </row>
    <row r="91" spans="1:25" ht="15" outlineLevel="2" thickBot="1">
      <c r="A91" s="874" t="s">
        <v>464</v>
      </c>
      <c r="B91" s="874" t="s">
        <v>1041</v>
      </c>
      <c r="C91" s="883" t="s">
        <v>1137</v>
      </c>
      <c r="D91" s="226">
        <f>Haushalt!G235/5</f>
        <v>584</v>
      </c>
      <c r="E91" s="867">
        <f>HHJ_2024_2025!H237</f>
        <v>0</v>
      </c>
      <c r="F91" s="226">
        <f>Haushalt!I235/5</f>
        <v>490</v>
      </c>
      <c r="G91" s="354" t="e">
        <f>Haushalt!#REF!/5</f>
        <v>#REF!</v>
      </c>
      <c r="H91" s="884">
        <v>0</v>
      </c>
      <c r="I91" s="885">
        <v>200</v>
      </c>
      <c r="J91" s="886">
        <v>0</v>
      </c>
      <c r="K91" s="852">
        <v>0</v>
      </c>
      <c r="L91" s="853">
        <f>Haushalt!O$235/5</f>
        <v>0</v>
      </c>
      <c r="M91" s="853">
        <f>Haushalt!P$235/5</f>
        <v>0</v>
      </c>
      <c r="N91" s="853">
        <f>Haushalt!Q$235/5</f>
        <v>0</v>
      </c>
      <c r="O91" s="853">
        <f>Haushalt!R$235/5</f>
        <v>0</v>
      </c>
      <c r="P91" s="853">
        <f>Haushalt!S$235/5</f>
        <v>0</v>
      </c>
      <c r="Q91" s="853">
        <f>Haushalt!T$235/5</f>
        <v>0</v>
      </c>
      <c r="R91" s="853">
        <f>Haushalt!U$235/5</f>
        <v>0</v>
      </c>
      <c r="S91" s="853">
        <f>Haushalt!V$235/5</f>
        <v>0</v>
      </c>
      <c r="T91" s="853">
        <f>Haushalt!W$235/5</f>
        <v>0</v>
      </c>
      <c r="U91" s="853" t="e">
        <f>Haushalt!#REF!/5</f>
        <v>#REF!</v>
      </c>
      <c r="V91" s="853" t="e">
        <f>Haushalt!#REF!/5</f>
        <v>#REF!</v>
      </c>
      <c r="W91" s="853" t="e">
        <f>Haushalt!#REF!/5</f>
        <v>#REF!</v>
      </c>
      <c r="X91" s="20"/>
      <c r="Y91" s="20"/>
    </row>
    <row r="92" spans="1:25">
      <c r="A92" s="209"/>
      <c r="B92" s="210"/>
      <c r="C92" s="211" t="s">
        <v>1079</v>
      </c>
      <c r="D92" s="364">
        <f t="shared" ref="D92:T92" si="30">SUM(D79:D91)</f>
        <v>59949</v>
      </c>
      <c r="E92" s="269">
        <f t="shared" si="30"/>
        <v>39725.39</v>
      </c>
      <c r="F92" s="212">
        <f t="shared" si="30"/>
        <v>54990</v>
      </c>
      <c r="G92" s="360" t="e">
        <f t="shared" ref="G92:H92" si="31">SUM(G79:G91)</f>
        <v>#REF!</v>
      </c>
      <c r="H92" s="212">
        <f t="shared" si="31"/>
        <v>38277.17</v>
      </c>
      <c r="I92" s="362">
        <f t="shared" ref="I92" si="32">SUM(I79:I91)</f>
        <v>56600</v>
      </c>
      <c r="J92" s="396">
        <v>40764.840000000004</v>
      </c>
      <c r="K92" s="396">
        <f>SUM(K79:K91)</f>
        <v>56400</v>
      </c>
      <c r="L92" s="324">
        <f t="shared" si="30"/>
        <v>785.23</v>
      </c>
      <c r="M92" s="314">
        <f t="shared" ref="M92" si="33">SUM(M79:M91)</f>
        <v>4975.71</v>
      </c>
      <c r="N92" s="314">
        <f t="shared" si="30"/>
        <v>6089.03</v>
      </c>
      <c r="O92" s="314">
        <f t="shared" si="30"/>
        <v>6736.5499999999993</v>
      </c>
      <c r="P92" s="314">
        <f t="shared" ref="P92" si="34">SUM(P79:P91)</f>
        <v>8745.5499999999993</v>
      </c>
      <c r="Q92" s="314">
        <f t="shared" si="30"/>
        <v>17542.87</v>
      </c>
      <c r="R92" s="314">
        <f t="shared" si="30"/>
        <v>20022.670000000002</v>
      </c>
      <c r="S92" s="314">
        <f t="shared" si="30"/>
        <v>22225.57</v>
      </c>
      <c r="T92" s="314">
        <f t="shared" si="30"/>
        <v>23708.020000000004</v>
      </c>
      <c r="U92" s="314" t="e">
        <f t="shared" ref="U92" si="35">SUM(U79:U91)</f>
        <v>#REF!</v>
      </c>
      <c r="V92" s="314" t="e">
        <f t="shared" ref="V92:W92" si="36">SUM(V79:V91)</f>
        <v>#REF!</v>
      </c>
      <c r="W92" s="306" t="e">
        <f t="shared" si="36"/>
        <v>#REF!</v>
      </c>
      <c r="X92" s="20"/>
      <c r="Y92" s="20"/>
    </row>
    <row r="93" spans="1:25" ht="15" thickBot="1">
      <c r="A93" s="214"/>
      <c r="B93" s="215"/>
      <c r="C93" s="216" t="s">
        <v>1141</v>
      </c>
      <c r="D93" s="365">
        <f>SUM(D15+D16+D17)-D92</f>
        <v>-30371</v>
      </c>
      <c r="E93" s="217">
        <f>E15-E92</f>
        <v>-15840.39</v>
      </c>
      <c r="F93" s="217">
        <f>SUM(F15+F16+F17)-F92</f>
        <v>-31490</v>
      </c>
      <c r="G93" s="361" t="e">
        <f>SUM(G15+G16+G17)-G92</f>
        <v>#REF!</v>
      </c>
      <c r="H93" s="217">
        <f>SUM(H15+H16+H17)-H92</f>
        <v>-10117.169999999998</v>
      </c>
      <c r="I93" s="363">
        <f>SUM(I15+I16+I17)-I92</f>
        <v>-31600</v>
      </c>
      <c r="J93" s="397">
        <v>-13964.840000000004</v>
      </c>
      <c r="K93" s="397">
        <f>SUM(K15+K16+K17)-K92</f>
        <v>-31400</v>
      </c>
      <c r="L93" s="325">
        <v>-3263.15</v>
      </c>
      <c r="M93" s="315">
        <v>-3972.15</v>
      </c>
      <c r="N93" s="315">
        <v>-5699.73</v>
      </c>
      <c r="O93" s="315">
        <f t="shared" ref="O93:T93" si="37">O15-O92</f>
        <v>863.45000000000073</v>
      </c>
      <c r="P93" s="315">
        <f t="shared" ref="P93" si="38">P15-P92</f>
        <v>5404.4500000000007</v>
      </c>
      <c r="Q93" s="315">
        <f t="shared" si="37"/>
        <v>-2542.869999999999</v>
      </c>
      <c r="R93" s="315">
        <f t="shared" si="37"/>
        <v>-4672.6700000000019</v>
      </c>
      <c r="S93" s="315">
        <f t="shared" si="37"/>
        <v>-6425.57</v>
      </c>
      <c r="T93" s="315">
        <f t="shared" si="37"/>
        <v>-8408.0200000000041</v>
      </c>
      <c r="U93" s="315" t="e">
        <f t="shared" ref="U93" si="39">U15-U92</f>
        <v>#REF!</v>
      </c>
      <c r="V93" s="315" t="e">
        <f t="shared" ref="V93:W93" si="40">V15-V92</f>
        <v>#REF!</v>
      </c>
      <c r="W93" s="307" t="e">
        <f t="shared" si="40"/>
        <v>#REF!</v>
      </c>
      <c r="X93" s="20"/>
      <c r="Y93" s="20"/>
    </row>
    <row r="94" spans="1:25" ht="15" thickBot="1">
      <c r="A94" s="219"/>
      <c r="B94" s="219"/>
      <c r="C94" s="219"/>
      <c r="D94" s="83"/>
      <c r="E94" s="83"/>
      <c r="F94" s="83"/>
      <c r="G94" s="83"/>
      <c r="H94" s="83"/>
      <c r="I94" s="83"/>
      <c r="J94" s="94"/>
      <c r="K94" s="94"/>
      <c r="L94" s="96"/>
      <c r="M94" s="96"/>
      <c r="N94" s="96"/>
      <c r="O94" s="96"/>
      <c r="P94" s="96"/>
      <c r="Q94" s="96"/>
      <c r="R94" s="96"/>
      <c r="S94" s="96"/>
      <c r="T94" s="96"/>
      <c r="U94" s="96"/>
      <c r="V94" s="96"/>
      <c r="W94" s="96"/>
      <c r="X94" s="20"/>
      <c r="Y94" s="20"/>
    </row>
    <row r="95" spans="1:25" ht="15" thickBot="1">
      <c r="A95" s="238" t="s">
        <v>1043</v>
      </c>
      <c r="B95" s="239"/>
      <c r="C95" s="243" t="s">
        <v>1044</v>
      </c>
      <c r="D95" s="83"/>
      <c r="E95" s="96"/>
      <c r="F95" s="83"/>
      <c r="G95" s="83"/>
      <c r="H95" s="83"/>
      <c r="I95" s="83"/>
      <c r="J95" s="94"/>
      <c r="K95" s="94"/>
      <c r="L95" s="96"/>
      <c r="M95" s="96"/>
      <c r="N95" s="96"/>
      <c r="O95" s="96"/>
      <c r="P95" s="96"/>
      <c r="Q95" s="96"/>
      <c r="R95" s="96"/>
      <c r="S95" s="96"/>
      <c r="T95" s="96"/>
      <c r="U95" s="90"/>
      <c r="V95" s="90"/>
      <c r="W95" s="96"/>
      <c r="X95" s="20"/>
      <c r="Y95" s="20"/>
    </row>
    <row r="96" spans="1:25" outlineLevel="2">
      <c r="A96" s="863" t="s">
        <v>157</v>
      </c>
      <c r="B96" s="863" t="s">
        <v>1045</v>
      </c>
      <c r="C96" s="864" t="s">
        <v>1127</v>
      </c>
      <c r="D96" s="225">
        <f>Haushalt!G87/5</f>
        <v>9600</v>
      </c>
      <c r="E96" s="268">
        <v>9600</v>
      </c>
      <c r="F96" s="225">
        <f>Haushalt!I87/5</f>
        <v>9600</v>
      </c>
      <c r="G96" s="353">
        <f>800*12</f>
        <v>9600</v>
      </c>
      <c r="H96" s="357">
        <v>9600</v>
      </c>
      <c r="I96" s="356">
        <v>9600</v>
      </c>
      <c r="J96" s="385">
        <v>8640</v>
      </c>
      <c r="K96" s="385">
        <v>9600</v>
      </c>
      <c r="L96" s="298">
        <f>AE_Zuweisung_Fachschaften!E$66</f>
        <v>0</v>
      </c>
      <c r="M96" s="298">
        <f>AE_Zuweisung_Fachschaften!E$66+AE_Zuweisung_Fachschaften!F$66</f>
        <v>0</v>
      </c>
      <c r="N96" s="298">
        <f>AE_Zuweisung_Fachschaften!E$66+AE_Zuweisung_Fachschaften!F$66+AE_Zuweisung_Fachschaften!G$66</f>
        <v>0</v>
      </c>
      <c r="O96" s="298">
        <f>AE_Zuweisung_Fachschaften!E$66+AE_Zuweisung_Fachschaften!F$66+AE_Zuweisung_Fachschaften!G$66+AE_Zuweisung_Fachschaften!H$66</f>
        <v>0</v>
      </c>
      <c r="P96" s="298">
        <f>AE_Zuweisung_Fachschaften!E$66+AE_Zuweisung_Fachschaften!F$66+AE_Zuweisung_Fachschaften!G$66+AE_Zuweisung_Fachschaften!H$66+AE_Zuweisung_Fachschaften!I$66</f>
        <v>0</v>
      </c>
      <c r="Q96" s="298">
        <f>AE_Zuweisung_Fachschaften!E$66+AE_Zuweisung_Fachschaften!F$66+AE_Zuweisung_Fachschaften!G$66+AE_Zuweisung_Fachschaften!H$66+AE_Zuweisung_Fachschaften!I$66+AE_Zuweisung_Fachschaften!J$66</f>
        <v>0</v>
      </c>
      <c r="R96" s="298">
        <f>AE_Zuweisung_Fachschaften!E$66+AE_Zuweisung_Fachschaften!F$66+AE_Zuweisung_Fachschaften!G$66+AE_Zuweisung_Fachschaften!H$66+AE_Zuweisung_Fachschaften!I$66+AE_Zuweisung_Fachschaften!J$66+AE_Zuweisung_Fachschaften!K$66</f>
        <v>0</v>
      </c>
      <c r="S96" s="298">
        <f>AE_Zuweisung_Fachschaften!E$66+AE_Zuweisung_Fachschaften!F$66+AE_Zuweisung_Fachschaften!G$66+AE_Zuweisung_Fachschaften!H$66+AE_Zuweisung_Fachschaften!I$66+AE_Zuweisung_Fachschaften!J$66+AE_Zuweisung_Fachschaften!K$66+AE_Zuweisung_Fachschaften!L$66</f>
        <v>0</v>
      </c>
      <c r="T96" s="298">
        <f>AE_Zuweisung_Fachschaften!E$66+AE_Zuweisung_Fachschaften!F$66+AE_Zuweisung_Fachschaften!G$66+AE_Zuweisung_Fachschaften!H$66+AE_Zuweisung_Fachschaften!I$66+AE_Zuweisung_Fachschaften!J$66+AE_Zuweisung_Fachschaften!K$66+AE_Zuweisung_Fachschaften!L$66+AE_Zuweisung_Fachschaften!M$66</f>
        <v>0</v>
      </c>
      <c r="U96" s="298">
        <f>AE_Zuweisung_Fachschaften!E$66+AE_Zuweisung_Fachschaften!F$66+AE_Zuweisung_Fachschaften!G$66+AE_Zuweisung_Fachschaften!H$66+AE_Zuweisung_Fachschaften!I$66+AE_Zuweisung_Fachschaften!J$66+AE_Zuweisung_Fachschaften!K$66+AE_Zuweisung_Fachschaften!L$66+AE_Zuweisung_Fachschaften!M$66+AE_Zuweisung_Fachschaften!N$66</f>
        <v>0</v>
      </c>
      <c r="V96" s="298">
        <f>AE_Zuweisung_Fachschaften!E$66+AE_Zuweisung_Fachschaften!F$66+AE_Zuweisung_Fachschaften!G$66+AE_Zuweisung_Fachschaften!H$66+AE_Zuweisung_Fachschaften!I$66+AE_Zuweisung_Fachschaften!J$66+AE_Zuweisung_Fachschaften!K$66+AE_Zuweisung_Fachschaften!L$66+AE_Zuweisung_Fachschaften!M$66+AE_Zuweisung_Fachschaften!N$66+AE_Zuweisung_Fachschaften!O$66</f>
        <v>0</v>
      </c>
      <c r="W96" s="298">
        <f>AE_Zuweisung_Fachschaften!E$66+AE_Zuweisung_Fachschaften!F$66+AE_Zuweisung_Fachschaften!G$66+AE_Zuweisung_Fachschaften!H$66+AE_Zuweisung_Fachschaften!I$66+AE_Zuweisung_Fachschaften!J$66+AE_Zuweisung_Fachschaften!K$66+AE_Zuweisung_Fachschaften!L$66+AE_Zuweisung_Fachschaften!M$66+AE_Zuweisung_Fachschaften!N$66+AE_Zuweisung_Fachschaften!O$66+AE_Zuweisung_Fachschaften!P$66</f>
        <v>0</v>
      </c>
      <c r="X96" s="20"/>
      <c r="Y96" s="20"/>
    </row>
    <row r="97" spans="1:25" outlineLevel="2">
      <c r="A97" s="865" t="s">
        <v>174</v>
      </c>
      <c r="B97" s="865" t="s">
        <v>1045</v>
      </c>
      <c r="C97" s="864" t="s">
        <v>1128</v>
      </c>
      <c r="D97" s="866">
        <f>Tabelle1[[#This Row],[SOLL HHJ 23-24
SP 11.11.2023]]</f>
        <v>70000</v>
      </c>
      <c r="E97" s="867">
        <f>HHJ_2024_2025!H239-E96</f>
        <v>240</v>
      </c>
      <c r="F97" s="866">
        <f>Haushalt!I93</f>
        <v>2400</v>
      </c>
      <c r="G97" s="868" t="e">
        <f>Haushalt!#REF!</f>
        <v>#REF!</v>
      </c>
      <c r="H97" s="869">
        <v>1005</v>
      </c>
      <c r="I97" s="870">
        <v>2004</v>
      </c>
      <c r="J97" s="852">
        <v>845</v>
      </c>
      <c r="K97" s="852">
        <v>2400</v>
      </c>
      <c r="L97" s="853">
        <f>Haushalt!O$93</f>
        <v>0</v>
      </c>
      <c r="M97" s="853">
        <f>Haushalt!P$93</f>
        <v>0</v>
      </c>
      <c r="N97" s="853">
        <f>Haushalt!Q$93</f>
        <v>0</v>
      </c>
      <c r="O97" s="853">
        <f>Haushalt!R$93</f>
        <v>0</v>
      </c>
      <c r="P97" s="853">
        <f>Haushalt!S$93</f>
        <v>185</v>
      </c>
      <c r="Q97" s="853">
        <f>Haushalt!T$93</f>
        <v>185</v>
      </c>
      <c r="R97" s="853">
        <f>Haushalt!U$93</f>
        <v>185</v>
      </c>
      <c r="S97" s="853">
        <f>Haushalt!V$93</f>
        <v>435</v>
      </c>
      <c r="T97" s="853">
        <f>Haushalt!W$93</f>
        <v>615</v>
      </c>
      <c r="U97" s="853"/>
      <c r="V97" s="853"/>
      <c r="W97" s="853"/>
      <c r="X97" s="20"/>
      <c r="Y97" s="20"/>
    </row>
    <row r="98" spans="1:25" outlineLevel="2">
      <c r="A98" s="865" t="s">
        <v>283</v>
      </c>
      <c r="B98" s="865" t="s">
        <v>284</v>
      </c>
      <c r="C98" s="871" t="s">
        <v>1129</v>
      </c>
      <c r="D98" s="866">
        <f>Haushalt!G141</f>
        <v>2000</v>
      </c>
      <c r="E98" s="867">
        <f>HHJ_2024_2025!H240</f>
        <v>180.7</v>
      </c>
      <c r="F98" s="866">
        <f>Haushalt!I141</f>
        <v>6000</v>
      </c>
      <c r="G98" s="868" t="e">
        <f>Haushalt!#REF!</f>
        <v>#REF!</v>
      </c>
      <c r="H98" s="869">
        <v>628.63</v>
      </c>
      <c r="I98" s="870">
        <v>3000</v>
      </c>
      <c r="J98" s="852">
        <v>120</v>
      </c>
      <c r="K98" s="852">
        <v>3000</v>
      </c>
      <c r="L98" s="853">
        <f>Haushalt!O$141</f>
        <v>0</v>
      </c>
      <c r="M98" s="853">
        <f>Haushalt!P$141</f>
        <v>0</v>
      </c>
      <c r="N98" s="853">
        <f>Haushalt!Q$141</f>
        <v>0</v>
      </c>
      <c r="O98" s="853">
        <f>Haushalt!R$141</f>
        <v>61</v>
      </c>
      <c r="P98" s="853">
        <f>Haushalt!S$141</f>
        <v>469.43</v>
      </c>
      <c r="Q98" s="853">
        <f>Haushalt!T$141</f>
        <v>469.43</v>
      </c>
      <c r="R98" s="853">
        <f>Haushalt!U$141</f>
        <v>469.43</v>
      </c>
      <c r="S98" s="853">
        <f>Haushalt!V$141</f>
        <v>798.73</v>
      </c>
      <c r="T98" s="853">
        <f>Haushalt!W$141</f>
        <v>1089.83</v>
      </c>
      <c r="U98" s="853" t="e">
        <f>Haushalt!#REF!</f>
        <v>#REF!</v>
      </c>
      <c r="V98" s="853" t="e">
        <f>Haushalt!#REF!</f>
        <v>#REF!</v>
      </c>
      <c r="W98" s="853" t="e">
        <f>Haushalt!#REF!</f>
        <v>#REF!</v>
      </c>
      <c r="X98" s="20"/>
      <c r="Y98" s="20"/>
    </row>
    <row r="99" spans="1:25" outlineLevel="2">
      <c r="A99" s="865" t="s">
        <v>311</v>
      </c>
      <c r="B99" s="865" t="s">
        <v>312</v>
      </c>
      <c r="C99" s="864" t="s">
        <v>1130</v>
      </c>
      <c r="D99" s="866">
        <f>Haushalt!G153</f>
        <v>1150</v>
      </c>
      <c r="E99" s="867">
        <f>HHJ_2024_2025!H242</f>
        <v>0</v>
      </c>
      <c r="F99" s="866">
        <f>Haushalt!I153</f>
        <v>1500</v>
      </c>
      <c r="G99" s="868" t="e">
        <f>Haushalt!#REF!</f>
        <v>#REF!</v>
      </c>
      <c r="H99" s="869">
        <v>324</v>
      </c>
      <c r="I99" s="870">
        <v>1500</v>
      </c>
      <c r="J99" s="852">
        <v>2055.15</v>
      </c>
      <c r="K99" s="852">
        <v>1500</v>
      </c>
      <c r="L99" s="853">
        <f>Haushalt!O$153</f>
        <v>134.32</v>
      </c>
      <c r="M99" s="853">
        <f>Haushalt!P$153</f>
        <v>268.64</v>
      </c>
      <c r="N99" s="853">
        <f>Haushalt!Q$153</f>
        <v>402.96</v>
      </c>
      <c r="O99" s="853">
        <f>Haushalt!R$153</f>
        <v>537.28</v>
      </c>
      <c r="P99" s="853">
        <f>Haushalt!S$153</f>
        <v>919.40000000000009</v>
      </c>
      <c r="Q99" s="853">
        <f>Haushalt!T$153</f>
        <v>1053.72</v>
      </c>
      <c r="R99" s="853">
        <f>Haushalt!U$153</f>
        <v>1188.04</v>
      </c>
      <c r="S99" s="853">
        <f>Haushalt!V$153</f>
        <v>1322.36</v>
      </c>
      <c r="T99" s="853">
        <f>Haushalt!W$153</f>
        <v>1611.0500000000002</v>
      </c>
      <c r="U99" s="853" t="e">
        <f>Haushalt!#REF!</f>
        <v>#REF!</v>
      </c>
      <c r="V99" s="853" t="e">
        <f>Haushalt!#REF!</f>
        <v>#REF!</v>
      </c>
      <c r="W99" s="853" t="e">
        <f>Haushalt!#REF!</f>
        <v>#REF!</v>
      </c>
      <c r="X99" s="20"/>
      <c r="Y99" s="20"/>
    </row>
    <row r="100" spans="1:25" outlineLevel="2">
      <c r="A100" s="865" t="s">
        <v>333</v>
      </c>
      <c r="B100" s="865" t="s">
        <v>334</v>
      </c>
      <c r="C100" s="872" t="s">
        <v>1131</v>
      </c>
      <c r="D100" s="866">
        <f>Haushalt!G165</f>
        <v>650</v>
      </c>
      <c r="E100" s="867">
        <f>HHJ_2024_2025!H243</f>
        <v>0</v>
      </c>
      <c r="F100" s="866">
        <f>Haushalt!I165</f>
        <v>250</v>
      </c>
      <c r="G100" s="868" t="e">
        <f>Haushalt!#REF!</f>
        <v>#REF!</v>
      </c>
      <c r="H100" s="869">
        <v>179.38</v>
      </c>
      <c r="I100" s="870">
        <v>500</v>
      </c>
      <c r="J100" s="852">
        <v>0</v>
      </c>
      <c r="K100" s="852">
        <v>500</v>
      </c>
      <c r="L100" s="853">
        <f>Haushalt!O$165</f>
        <v>0</v>
      </c>
      <c r="M100" s="853">
        <f>Haushalt!P$165</f>
        <v>0</v>
      </c>
      <c r="N100" s="853">
        <f>Haushalt!Q$165</f>
        <v>0</v>
      </c>
      <c r="O100" s="853">
        <f>Haushalt!R$165</f>
        <v>0</v>
      </c>
      <c r="P100" s="853">
        <f>Haushalt!S$165</f>
        <v>0</v>
      </c>
      <c r="Q100" s="853">
        <f>Haushalt!T$165</f>
        <v>0</v>
      </c>
      <c r="R100" s="853">
        <f>Haushalt!U$165</f>
        <v>0</v>
      </c>
      <c r="S100" s="853">
        <f>Haushalt!V$165</f>
        <v>0</v>
      </c>
      <c r="T100" s="853">
        <f>Haushalt!W$165</f>
        <v>5.45</v>
      </c>
      <c r="U100" s="853" t="e">
        <f>Haushalt!#REF!</f>
        <v>#REF!</v>
      </c>
      <c r="V100" s="853" t="e">
        <f>Haushalt!#REF!</f>
        <v>#REF!</v>
      </c>
      <c r="W100" s="853" t="e">
        <f>Haushalt!#REF!</f>
        <v>#REF!</v>
      </c>
      <c r="X100" s="20"/>
      <c r="Y100" s="20"/>
    </row>
    <row r="101" spans="1:25" outlineLevel="2">
      <c r="A101" s="865" t="s">
        <v>379</v>
      </c>
      <c r="B101" s="865" t="s">
        <v>1049</v>
      </c>
      <c r="C101" s="873" t="s">
        <v>1132</v>
      </c>
      <c r="D101" s="866">
        <f>Haushalt!G189</f>
        <v>17200</v>
      </c>
      <c r="E101" s="867">
        <f>HHJ_2024_2025!H241</f>
        <v>6710</v>
      </c>
      <c r="F101" s="866">
        <f>Haushalt!I189</f>
        <v>15000</v>
      </c>
      <c r="G101" s="868" t="e">
        <f>Haushalt!#REF!</f>
        <v>#REF!</v>
      </c>
      <c r="H101" s="869">
        <v>4620</v>
      </c>
      <c r="I101" s="870">
        <v>13000</v>
      </c>
      <c r="J101" s="852">
        <v>5280</v>
      </c>
      <c r="K101" s="852">
        <v>13000</v>
      </c>
      <c r="L101" s="853">
        <f>Haushalt!O$189</f>
        <v>2640</v>
      </c>
      <c r="M101" s="853">
        <f>Haushalt!P$189</f>
        <v>2640</v>
      </c>
      <c r="N101" s="853">
        <f>Haushalt!Q$189</f>
        <v>4840</v>
      </c>
      <c r="O101" s="853">
        <f>Haushalt!R$189</f>
        <v>4840</v>
      </c>
      <c r="P101" s="853">
        <f>Haushalt!S$189</f>
        <v>4840</v>
      </c>
      <c r="Q101" s="853">
        <f>Haushalt!T$189</f>
        <v>4840</v>
      </c>
      <c r="R101" s="853">
        <f>Haushalt!U$189</f>
        <v>4840</v>
      </c>
      <c r="S101" s="853">
        <f>Haushalt!V$189</f>
        <v>7370</v>
      </c>
      <c r="T101" s="853">
        <f>Haushalt!W$189</f>
        <v>7370</v>
      </c>
      <c r="U101" s="853" t="e">
        <f>Haushalt!#REF!</f>
        <v>#REF!</v>
      </c>
      <c r="V101" s="853" t="e">
        <f>Haushalt!#REF!</f>
        <v>#REF!</v>
      </c>
      <c r="W101" s="853" t="e">
        <f>Haushalt!#REF!</f>
        <v>#REF!</v>
      </c>
      <c r="X101" s="20"/>
      <c r="Y101" s="20"/>
    </row>
    <row r="102" spans="1:25" outlineLevel="2">
      <c r="A102" s="865" t="s">
        <v>390</v>
      </c>
      <c r="B102" s="865" t="s">
        <v>1049</v>
      </c>
      <c r="C102" s="864" t="s">
        <v>354</v>
      </c>
      <c r="D102" s="866">
        <f>Haushalt!G195</f>
        <v>1000</v>
      </c>
      <c r="E102" s="867"/>
      <c r="F102" s="866">
        <f>Haushalt!I195</f>
        <v>0</v>
      </c>
      <c r="G102" s="868" t="e">
        <f>Haushalt!#REF!</f>
        <v>#REF!</v>
      </c>
      <c r="H102" s="869">
        <v>990</v>
      </c>
      <c r="I102" s="870">
        <v>1000</v>
      </c>
      <c r="J102" s="852">
        <v>0</v>
      </c>
      <c r="K102" s="852">
        <v>1000</v>
      </c>
      <c r="L102" s="853">
        <f>Haushalt!O$195</f>
        <v>0</v>
      </c>
      <c r="M102" s="853">
        <f>Haushalt!P$195</f>
        <v>0</v>
      </c>
      <c r="N102" s="853">
        <f>Haushalt!Q$195</f>
        <v>0</v>
      </c>
      <c r="O102" s="853">
        <f>Haushalt!R$195</f>
        <v>0</v>
      </c>
      <c r="P102" s="853">
        <f>Haushalt!S$195</f>
        <v>0</v>
      </c>
      <c r="Q102" s="853">
        <f>Haushalt!T$195</f>
        <v>0</v>
      </c>
      <c r="R102" s="853">
        <f>Haushalt!U$195</f>
        <v>0</v>
      </c>
      <c r="S102" s="853">
        <f>Haushalt!V$195</f>
        <v>0</v>
      </c>
      <c r="T102" s="853">
        <f>Haushalt!W$195</f>
        <v>0</v>
      </c>
      <c r="U102" s="853" t="e">
        <f>Haushalt!#REF!</f>
        <v>#REF!</v>
      </c>
      <c r="V102" s="853" t="e">
        <f>Haushalt!#REF!</f>
        <v>#REF!</v>
      </c>
      <c r="W102" s="853" t="e">
        <f>Haushalt!#REF!</f>
        <v>#REF!</v>
      </c>
      <c r="X102" s="20"/>
      <c r="Y102" s="20"/>
    </row>
    <row r="103" spans="1:25" outlineLevel="2">
      <c r="A103" s="865" t="s">
        <v>397</v>
      </c>
      <c r="B103" s="865" t="s">
        <v>1049</v>
      </c>
      <c r="C103" s="864" t="s">
        <v>1133</v>
      </c>
      <c r="D103" s="866">
        <f>Haushalt!G201</f>
        <v>200</v>
      </c>
      <c r="E103" s="867"/>
      <c r="F103" s="866">
        <f>Haushalt!I201</f>
        <v>0</v>
      </c>
      <c r="G103" s="868" t="e">
        <f>Haushalt!#REF!</f>
        <v>#REF!</v>
      </c>
      <c r="H103" s="869">
        <v>990</v>
      </c>
      <c r="I103" s="870">
        <v>300</v>
      </c>
      <c r="J103" s="852">
        <v>0</v>
      </c>
      <c r="K103" s="852">
        <v>300</v>
      </c>
      <c r="L103" s="853">
        <f>Haushalt!O$201</f>
        <v>0</v>
      </c>
      <c r="M103" s="853">
        <f>Haushalt!P$201</f>
        <v>0</v>
      </c>
      <c r="N103" s="853">
        <f>Haushalt!Q$201</f>
        <v>0</v>
      </c>
      <c r="O103" s="853">
        <f>Haushalt!R$201</f>
        <v>0</v>
      </c>
      <c r="P103" s="853">
        <f>Haushalt!S$201</f>
        <v>0</v>
      </c>
      <c r="Q103" s="853">
        <f>Haushalt!T$201</f>
        <v>0</v>
      </c>
      <c r="R103" s="853">
        <f>Haushalt!U$201</f>
        <v>0</v>
      </c>
      <c r="S103" s="853">
        <f>Haushalt!V$201</f>
        <v>0</v>
      </c>
      <c r="T103" s="853">
        <f>Haushalt!W$201</f>
        <v>0</v>
      </c>
      <c r="U103" s="853" t="e">
        <f>Haushalt!#REF!</f>
        <v>#REF!</v>
      </c>
      <c r="V103" s="853" t="e">
        <f>Haushalt!#REF!</f>
        <v>#REF!</v>
      </c>
      <c r="W103" s="853" t="e">
        <f>Haushalt!#REF!</f>
        <v>#REF!</v>
      </c>
      <c r="X103" s="20"/>
      <c r="Y103" s="20"/>
    </row>
    <row r="104" spans="1:25" outlineLevel="2">
      <c r="A104" s="874" t="s">
        <v>408</v>
      </c>
      <c r="B104" s="874" t="s">
        <v>409</v>
      </c>
      <c r="C104" s="876" t="s">
        <v>399</v>
      </c>
      <c r="D104" s="866">
        <f>Haushalt!G207</f>
        <v>250</v>
      </c>
      <c r="E104" s="867">
        <f>HHJ_2024_2025!H245</f>
        <v>0</v>
      </c>
      <c r="F104" s="866">
        <f>Haushalt!I207</f>
        <v>250</v>
      </c>
      <c r="G104" s="868" t="e">
        <f>Haushalt!#REF!</f>
        <v>#REF!</v>
      </c>
      <c r="H104" s="869">
        <v>0</v>
      </c>
      <c r="I104" s="870">
        <v>300</v>
      </c>
      <c r="J104" s="852">
        <v>0</v>
      </c>
      <c r="K104" s="852">
        <v>300</v>
      </c>
      <c r="L104" s="853">
        <f>Haushalt!O$207</f>
        <v>0</v>
      </c>
      <c r="M104" s="853">
        <f>Haushalt!P$207</f>
        <v>0</v>
      </c>
      <c r="N104" s="853">
        <f>Haushalt!Q$207</f>
        <v>0</v>
      </c>
      <c r="O104" s="853">
        <f>Haushalt!R$207</f>
        <v>0</v>
      </c>
      <c r="P104" s="853">
        <f>Haushalt!S$207</f>
        <v>0</v>
      </c>
      <c r="Q104" s="853">
        <f>Haushalt!T$207</f>
        <v>0</v>
      </c>
      <c r="R104" s="853">
        <f>Haushalt!U$207</f>
        <v>0</v>
      </c>
      <c r="S104" s="853">
        <f>Haushalt!V$207</f>
        <v>0</v>
      </c>
      <c r="T104" s="853">
        <f>Haushalt!W$207</f>
        <v>0</v>
      </c>
      <c r="U104" s="853" t="e">
        <f>Haushalt!#REF!</f>
        <v>#REF!</v>
      </c>
      <c r="V104" s="853" t="e">
        <f>Haushalt!#REF!</f>
        <v>#REF!</v>
      </c>
      <c r="W104" s="853" t="e">
        <f>Haushalt!#REF!</f>
        <v>#REF!</v>
      </c>
      <c r="X104" s="20"/>
      <c r="Y104" s="20"/>
    </row>
    <row r="105" spans="1:25" outlineLevel="2">
      <c r="A105" s="874" t="s">
        <v>420</v>
      </c>
      <c r="B105" s="874" t="s">
        <v>421</v>
      </c>
      <c r="C105" s="876" t="s">
        <v>1134</v>
      </c>
      <c r="D105" s="866">
        <f>Haushalt!G213</f>
        <v>100</v>
      </c>
      <c r="E105" s="867">
        <f>HHJ_2024_2025!H244</f>
        <v>160</v>
      </c>
      <c r="F105" s="866">
        <f>Haushalt!I213</f>
        <v>250</v>
      </c>
      <c r="G105" s="868" t="e">
        <f>Haushalt!#REF!</f>
        <v>#REF!</v>
      </c>
      <c r="H105" s="869">
        <v>0</v>
      </c>
      <c r="I105" s="870">
        <v>500</v>
      </c>
      <c r="J105" s="852">
        <v>0</v>
      </c>
      <c r="K105" s="852">
        <v>500</v>
      </c>
      <c r="L105" s="853">
        <f>Haushalt!O$213</f>
        <v>0</v>
      </c>
      <c r="M105" s="853">
        <f>Haushalt!P$213</f>
        <v>0</v>
      </c>
      <c r="N105" s="853">
        <f>Haushalt!Q$213</f>
        <v>0</v>
      </c>
      <c r="O105" s="853">
        <f>Haushalt!R$213</f>
        <v>0</v>
      </c>
      <c r="P105" s="853">
        <f>Haushalt!S$213</f>
        <v>0</v>
      </c>
      <c r="Q105" s="853">
        <f>Haushalt!T$213</f>
        <v>0</v>
      </c>
      <c r="R105" s="853">
        <f>Haushalt!U$213</f>
        <v>0</v>
      </c>
      <c r="S105" s="853">
        <f>Haushalt!V$213</f>
        <v>0</v>
      </c>
      <c r="T105" s="853">
        <f>Haushalt!W$213</f>
        <v>0</v>
      </c>
      <c r="U105" s="853" t="e">
        <f>Haushalt!#REF!</f>
        <v>#REF!</v>
      </c>
      <c r="V105" s="853" t="e">
        <f>Haushalt!#REF!</f>
        <v>#REF!</v>
      </c>
      <c r="W105" s="853" t="e">
        <f>Haushalt!#REF!</f>
        <v>#REF!</v>
      </c>
      <c r="X105" s="20"/>
      <c r="Y105" s="20"/>
    </row>
    <row r="106" spans="1:25" outlineLevel="2">
      <c r="A106" s="874" t="s">
        <v>432</v>
      </c>
      <c r="B106" s="874" t="s">
        <v>1056</v>
      </c>
      <c r="C106" s="876" t="s">
        <v>1135</v>
      </c>
      <c r="D106" s="866">
        <f>Haushalt!G219</f>
        <v>900</v>
      </c>
      <c r="E106" s="867">
        <f>HHJ_2024_2025!H246</f>
        <v>83.58</v>
      </c>
      <c r="F106" s="866">
        <f>Haushalt!I219</f>
        <v>0</v>
      </c>
      <c r="G106" s="868" t="e">
        <f>Haushalt!#REF!</f>
        <v>#REF!</v>
      </c>
      <c r="H106" s="869">
        <v>18.54</v>
      </c>
      <c r="I106" s="870">
        <v>500</v>
      </c>
      <c r="J106" s="852">
        <v>0</v>
      </c>
      <c r="K106" s="852">
        <v>500</v>
      </c>
      <c r="L106" s="853">
        <f>Haushalt!O$219</f>
        <v>0</v>
      </c>
      <c r="M106" s="853">
        <f>Haushalt!P$219</f>
        <v>0</v>
      </c>
      <c r="N106" s="853">
        <f>Haushalt!Q$219</f>
        <v>0</v>
      </c>
      <c r="O106" s="853">
        <f>Haushalt!R$219</f>
        <v>0</v>
      </c>
      <c r="P106" s="853">
        <f>Haushalt!S$219</f>
        <v>0</v>
      </c>
      <c r="Q106" s="853">
        <f>Haushalt!T$219</f>
        <v>0</v>
      </c>
      <c r="R106" s="853">
        <f>Haushalt!U$219</f>
        <v>0</v>
      </c>
      <c r="S106" s="853">
        <f>Haushalt!V$219</f>
        <v>0</v>
      </c>
      <c r="T106" s="853">
        <f>Haushalt!W$219</f>
        <v>0</v>
      </c>
      <c r="U106" s="853" t="e">
        <f>Haushalt!#REF!</f>
        <v>#REF!</v>
      </c>
      <c r="V106" s="853" t="e">
        <f>Haushalt!#REF!</f>
        <v>#REF!</v>
      </c>
      <c r="W106" s="853" t="e">
        <f>Haushalt!#REF!</f>
        <v>#REF!</v>
      </c>
      <c r="X106" s="20"/>
      <c r="Y106" s="20"/>
    </row>
    <row r="107" spans="1:25" outlineLevel="2">
      <c r="A107" s="874" t="s">
        <v>444</v>
      </c>
      <c r="B107" s="874" t="s">
        <v>1142</v>
      </c>
      <c r="C107" s="882" t="s">
        <v>1136</v>
      </c>
      <c r="D107" s="866">
        <f>Haushalt!G225</f>
        <v>1250</v>
      </c>
      <c r="E107" s="867"/>
      <c r="F107" s="866">
        <f>Haushalt!I225</f>
        <v>500</v>
      </c>
      <c r="G107" s="868" t="e">
        <f>Haushalt!#REF!</f>
        <v>#REF!</v>
      </c>
      <c r="H107" s="869">
        <v>166.89</v>
      </c>
      <c r="I107" s="870">
        <v>500</v>
      </c>
      <c r="J107" s="852">
        <v>214.19</v>
      </c>
      <c r="K107" s="852">
        <v>500</v>
      </c>
      <c r="L107" s="853">
        <f>Haushalt!O$225</f>
        <v>0</v>
      </c>
      <c r="M107" s="853">
        <f>Haushalt!P$225</f>
        <v>0</v>
      </c>
      <c r="N107" s="853">
        <f>Haushalt!Q$225</f>
        <v>0</v>
      </c>
      <c r="O107" s="853">
        <f>Haushalt!R$225</f>
        <v>0</v>
      </c>
      <c r="P107" s="853">
        <f>Haushalt!S$225</f>
        <v>0</v>
      </c>
      <c r="Q107" s="853">
        <f>Haushalt!T$225</f>
        <v>0</v>
      </c>
      <c r="R107" s="853">
        <f>Haushalt!U$225</f>
        <v>19.32</v>
      </c>
      <c r="S107" s="853">
        <f>Haushalt!V$225</f>
        <v>277.26</v>
      </c>
      <c r="T107" s="853">
        <f>Haushalt!W$225</f>
        <v>283.14999999999998</v>
      </c>
      <c r="U107" s="853" t="e">
        <f>Haushalt!#REF!</f>
        <v>#REF!</v>
      </c>
      <c r="V107" s="853" t="e">
        <f>Haushalt!#REF!</f>
        <v>#REF!</v>
      </c>
      <c r="W107" s="853" t="e">
        <f>Haushalt!#REF!</f>
        <v>#REF!</v>
      </c>
      <c r="X107" s="20"/>
      <c r="Y107" s="20"/>
    </row>
    <row r="108" spans="1:25" ht="15" outlineLevel="2" thickBot="1">
      <c r="A108" s="874" t="s">
        <v>464</v>
      </c>
      <c r="B108" s="874" t="s">
        <v>1059</v>
      </c>
      <c r="C108" s="883" t="s">
        <v>1137</v>
      </c>
      <c r="D108" s="226">
        <f>Haushalt!G235/5</f>
        <v>584</v>
      </c>
      <c r="E108" s="867">
        <f>HHJ_2024_2025!H247</f>
        <v>0</v>
      </c>
      <c r="F108" s="226">
        <f>Haushalt!I235/5</f>
        <v>490</v>
      </c>
      <c r="G108" s="354" t="e">
        <f>Haushalt!#REF!/5</f>
        <v>#REF!</v>
      </c>
      <c r="H108" s="884">
        <v>0</v>
      </c>
      <c r="I108" s="885">
        <v>200</v>
      </c>
      <c r="J108" s="852">
        <v>0</v>
      </c>
      <c r="K108" s="852">
        <v>0</v>
      </c>
      <c r="L108" s="853">
        <f>Haushalt!O$235/5</f>
        <v>0</v>
      </c>
      <c r="M108" s="853">
        <f>Haushalt!P$235/5</f>
        <v>0</v>
      </c>
      <c r="N108" s="853">
        <f>Haushalt!Q$235/5</f>
        <v>0</v>
      </c>
      <c r="O108" s="853">
        <f>Haushalt!R$235/5</f>
        <v>0</v>
      </c>
      <c r="P108" s="853">
        <f>Haushalt!S$235/5</f>
        <v>0</v>
      </c>
      <c r="Q108" s="853">
        <f>Haushalt!T$235/5</f>
        <v>0</v>
      </c>
      <c r="R108" s="853">
        <f>Haushalt!U$235/5</f>
        <v>0</v>
      </c>
      <c r="S108" s="853">
        <f>Haushalt!V$235/5</f>
        <v>0</v>
      </c>
      <c r="T108" s="853">
        <f>Haushalt!W$235/5</f>
        <v>0</v>
      </c>
      <c r="U108" s="853" t="e">
        <f>Haushalt!#REF!/5</f>
        <v>#REF!</v>
      </c>
      <c r="V108" s="853" t="e">
        <f>Haushalt!#REF!/5</f>
        <v>#REF!</v>
      </c>
      <c r="W108" s="853" t="e">
        <f>Haushalt!#REF!/5</f>
        <v>#REF!</v>
      </c>
      <c r="X108" s="20"/>
      <c r="Y108" s="20"/>
    </row>
    <row r="109" spans="1:25">
      <c r="A109" s="209"/>
      <c r="B109" s="210"/>
      <c r="C109" s="211" t="s">
        <v>1079</v>
      </c>
      <c r="D109" s="212">
        <f t="shared" ref="D109:T109" si="41">SUM(D96:D108)</f>
        <v>104884</v>
      </c>
      <c r="E109" s="366">
        <f t="shared" si="41"/>
        <v>16974.280000000002</v>
      </c>
      <c r="F109" s="212">
        <f t="shared" si="41"/>
        <v>36240</v>
      </c>
      <c r="G109" s="212" t="e">
        <f t="shared" ref="G109:H109" si="42">SUM(G96:G108)</f>
        <v>#REF!</v>
      </c>
      <c r="H109" s="362">
        <f t="shared" si="42"/>
        <v>18522.439999999999</v>
      </c>
      <c r="I109" s="362">
        <f t="shared" ref="I109" si="43">SUM(I96:I108)</f>
        <v>32904</v>
      </c>
      <c r="J109" s="396">
        <v>17154.34</v>
      </c>
      <c r="K109" s="396">
        <f>SUM(K96:K108)</f>
        <v>33100</v>
      </c>
      <c r="L109" s="324">
        <f t="shared" si="41"/>
        <v>2774.32</v>
      </c>
      <c r="M109" s="314">
        <f t="shared" ref="M109" si="44">SUM(M96:M108)</f>
        <v>2908.64</v>
      </c>
      <c r="N109" s="314">
        <f t="shared" si="41"/>
        <v>5242.96</v>
      </c>
      <c r="O109" s="314">
        <f t="shared" si="41"/>
        <v>5438.28</v>
      </c>
      <c r="P109" s="314">
        <f t="shared" ref="P109" si="45">SUM(P96:P108)</f>
        <v>6413.83</v>
      </c>
      <c r="Q109" s="314">
        <f t="shared" si="41"/>
        <v>6548.15</v>
      </c>
      <c r="R109" s="314">
        <f t="shared" si="41"/>
        <v>6701.79</v>
      </c>
      <c r="S109" s="314">
        <f t="shared" si="41"/>
        <v>10203.35</v>
      </c>
      <c r="T109" s="314">
        <f t="shared" si="41"/>
        <v>10974.48</v>
      </c>
      <c r="U109" s="314" t="e">
        <f t="shared" ref="U109:V109" si="46">SUM(U96:U108)</f>
        <v>#REF!</v>
      </c>
      <c r="V109" s="314" t="e">
        <f t="shared" si="46"/>
        <v>#REF!</v>
      </c>
      <c r="W109" s="306" t="e">
        <f t="shared" ref="W109" si="47">SUM(W96:W108)</f>
        <v>#REF!</v>
      </c>
      <c r="X109" s="20"/>
      <c r="Y109" s="20"/>
    </row>
    <row r="110" spans="1:25" ht="15" thickBot="1">
      <c r="A110" s="214"/>
      <c r="B110" s="215"/>
      <c r="C110" s="216" t="s">
        <v>1143</v>
      </c>
      <c r="D110" s="217">
        <f>SUM(D18+D19+D20)-D109</f>
        <v>-85311.5</v>
      </c>
      <c r="E110" s="361">
        <f t="shared" ref="E110:T110" si="48">E20-E109</f>
        <v>-16974.280000000002</v>
      </c>
      <c r="F110" s="217">
        <f>SUM(F18+F19+F20)-F109</f>
        <v>-20740</v>
      </c>
      <c r="G110" s="217" t="e">
        <f>SUM(G18+G19+G20)-G109</f>
        <v>#REF!</v>
      </c>
      <c r="H110" s="363">
        <f>SUM(H18+H19+H20)-H109</f>
        <v>-11292.439999999999</v>
      </c>
      <c r="I110" s="363">
        <f>SUM(I18+I19+I20)-I109</f>
        <v>-19904</v>
      </c>
      <c r="J110" s="397">
        <v>-17154.34</v>
      </c>
      <c r="K110" s="397">
        <f>SUM(K18+K19+K20)-K109</f>
        <v>-20100</v>
      </c>
      <c r="L110" s="325">
        <f>L18-L109</f>
        <v>-694.32000000000016</v>
      </c>
      <c r="M110" s="315">
        <f>M18-M109</f>
        <v>106.36000000000013</v>
      </c>
      <c r="N110" s="315">
        <f>N18-N109</f>
        <v>-2062.96</v>
      </c>
      <c r="O110" s="315">
        <f>O18-O109</f>
        <v>-2258.2799999999997</v>
      </c>
      <c r="P110" s="315">
        <f>P18-P109</f>
        <v>-3233.83</v>
      </c>
      <c r="Q110" s="315">
        <f t="shared" si="48"/>
        <v>-6548.15</v>
      </c>
      <c r="R110" s="315">
        <f t="shared" si="48"/>
        <v>-6701.79</v>
      </c>
      <c r="S110" s="315">
        <f t="shared" si="48"/>
        <v>-10203.35</v>
      </c>
      <c r="T110" s="315">
        <f t="shared" si="48"/>
        <v>-10974.48</v>
      </c>
      <c r="U110" s="315" t="e">
        <f t="shared" ref="U110:V110" si="49">U20-U109</f>
        <v>#REF!</v>
      </c>
      <c r="V110" s="315" t="e">
        <f t="shared" si="49"/>
        <v>#REF!</v>
      </c>
      <c r="W110" s="307" t="e">
        <f t="shared" ref="W110" si="50">W20-W109</f>
        <v>#REF!</v>
      </c>
      <c r="X110" s="20"/>
      <c r="Y110" s="20"/>
    </row>
    <row r="111" spans="1:25" ht="15" thickBot="1">
      <c r="A111" s="219"/>
      <c r="B111" s="219"/>
      <c r="C111" s="219"/>
      <c r="D111" s="83"/>
      <c r="E111" s="83"/>
      <c r="F111" s="83"/>
      <c r="G111" s="83"/>
      <c r="H111" s="83"/>
      <c r="I111" s="83"/>
      <c r="J111" s="94"/>
      <c r="K111" s="94"/>
      <c r="L111" s="96"/>
      <c r="M111" s="96"/>
      <c r="N111" s="96"/>
      <c r="O111" s="96"/>
      <c r="P111" s="96"/>
      <c r="Q111" s="96"/>
      <c r="R111" s="96"/>
      <c r="S111" s="96"/>
      <c r="T111" s="96"/>
      <c r="U111" s="96"/>
      <c r="V111" s="96"/>
      <c r="W111" s="96"/>
      <c r="X111" s="20"/>
      <c r="Y111" s="20"/>
    </row>
    <row r="112" spans="1:25">
      <c r="A112" s="193"/>
      <c r="B112" s="220"/>
      <c r="C112" s="221" t="s">
        <v>1144</v>
      </c>
      <c r="D112" s="311">
        <f t="shared" ref="D112:W112" si="51">D37+D56+D73+D92+D109</f>
        <v>353045</v>
      </c>
      <c r="E112" s="313">
        <f t="shared" si="51"/>
        <v>138472.56</v>
      </c>
      <c r="F112" s="313">
        <f t="shared" si="51"/>
        <v>273130</v>
      </c>
      <c r="G112" s="355" t="e">
        <f t="shared" ref="G112:H112" si="52">G37+G56+G73+G92+G109</f>
        <v>#REF!</v>
      </c>
      <c r="H112" s="355">
        <f t="shared" si="52"/>
        <v>148449.16999999998</v>
      </c>
      <c r="I112" s="313">
        <f t="shared" ref="I112" si="53">I37+I56+I73+I92+I109</f>
        <v>231754</v>
      </c>
      <c r="J112" s="390">
        <v>152821.64000000001</v>
      </c>
      <c r="K112" s="416">
        <f>K37+K56+K73+K92+K109</f>
        <v>232300</v>
      </c>
      <c r="L112" s="328">
        <f t="shared" si="51"/>
        <v>4934.51</v>
      </c>
      <c r="M112" s="312">
        <f t="shared" si="51"/>
        <v>12512.21</v>
      </c>
      <c r="N112" s="312">
        <f t="shared" si="51"/>
        <v>17533.89</v>
      </c>
      <c r="O112" s="312">
        <f t="shared" si="51"/>
        <v>19857.169999999998</v>
      </c>
      <c r="P112" s="312">
        <f t="shared" si="51"/>
        <v>29294.050000000003</v>
      </c>
      <c r="Q112" s="312">
        <f t="shared" si="51"/>
        <v>46716.420000000006</v>
      </c>
      <c r="R112" s="312">
        <f t="shared" si="51"/>
        <v>56470.770000000011</v>
      </c>
      <c r="S112" s="312">
        <f t="shared" si="51"/>
        <v>64523.44</v>
      </c>
      <c r="T112" s="312">
        <f t="shared" si="51"/>
        <v>68007.23000000001</v>
      </c>
      <c r="U112" s="312" t="e">
        <f t="shared" ref="U112" si="54">U37+U56+U73+U92+U109</f>
        <v>#REF!</v>
      </c>
      <c r="V112" s="317" t="e">
        <f t="shared" si="51"/>
        <v>#REF!</v>
      </c>
      <c r="W112" s="318" t="e">
        <f t="shared" si="51"/>
        <v>#REF!</v>
      </c>
      <c r="X112" s="20"/>
      <c r="Y112" s="20"/>
    </row>
    <row r="113" spans="1:25" ht="15" thickBot="1">
      <c r="A113" s="177"/>
      <c r="B113" s="178"/>
      <c r="C113" s="452" t="s">
        <v>1145</v>
      </c>
      <c r="D113" s="319">
        <f t="shared" ref="D113:W113" si="55">D21</f>
        <v>146529.5</v>
      </c>
      <c r="E113" s="320">
        <f t="shared" si="55"/>
        <v>71915.37</v>
      </c>
      <c r="F113" s="320">
        <f t="shared" si="55"/>
        <v>118160</v>
      </c>
      <c r="G113" s="358" t="e">
        <f t="shared" ref="G113:H113" si="56">G21</f>
        <v>#REF!</v>
      </c>
      <c r="H113" s="358">
        <f t="shared" si="56"/>
        <v>82434.34</v>
      </c>
      <c r="I113" s="320">
        <f t="shared" ref="I113" si="57">I21</f>
        <v>95000</v>
      </c>
      <c r="J113" s="381">
        <v>85344.97</v>
      </c>
      <c r="K113" s="417">
        <f>K21</f>
        <v>83000</v>
      </c>
      <c r="L113" s="329">
        <f t="shared" si="55"/>
        <v>3929.1</v>
      </c>
      <c r="M113" s="321">
        <f t="shared" si="55"/>
        <v>7164.1</v>
      </c>
      <c r="N113" s="321">
        <f t="shared" si="55"/>
        <v>7379</v>
      </c>
      <c r="O113" s="321">
        <f t="shared" si="55"/>
        <v>24851.89</v>
      </c>
      <c r="P113" s="321">
        <f t="shared" si="55"/>
        <v>38687.479999999996</v>
      </c>
      <c r="Q113" s="321">
        <f t="shared" si="55"/>
        <v>42187.479999999996</v>
      </c>
      <c r="R113" s="321">
        <f t="shared" si="55"/>
        <v>42712.479999999996</v>
      </c>
      <c r="S113" s="321">
        <f t="shared" si="55"/>
        <v>44657.479999999996</v>
      </c>
      <c r="T113" s="321">
        <f t="shared" si="55"/>
        <v>44322.479999999996</v>
      </c>
      <c r="U113" s="321" t="e">
        <f t="shared" ref="U113" si="58">U21</f>
        <v>#REF!</v>
      </c>
      <c r="V113" s="321" t="e">
        <f t="shared" si="55"/>
        <v>#REF!</v>
      </c>
      <c r="W113" s="322" t="e">
        <f t="shared" si="55"/>
        <v>#REF!</v>
      </c>
      <c r="X113" s="20"/>
      <c r="Y113" s="20"/>
    </row>
    <row r="114" spans="1:25" ht="15" thickBot="1">
      <c r="A114" s="222"/>
      <c r="B114" s="223"/>
      <c r="C114" s="316" t="s">
        <v>1146</v>
      </c>
      <c r="D114" s="323">
        <f t="shared" ref="D114:W114" si="59">D113-D112</f>
        <v>-206515.5</v>
      </c>
      <c r="E114" s="315">
        <f t="shared" si="59"/>
        <v>-66557.19</v>
      </c>
      <c r="F114" s="315">
        <f t="shared" si="59"/>
        <v>-154970</v>
      </c>
      <c r="G114" s="359" t="e">
        <f t="shared" ref="G114:H114" si="60">G113-G112</f>
        <v>#REF!</v>
      </c>
      <c r="H114" s="359">
        <f t="shared" si="60"/>
        <v>-66014.829999999987</v>
      </c>
      <c r="I114" s="315">
        <f t="shared" ref="I114" si="61">I113-I112</f>
        <v>-136754</v>
      </c>
      <c r="J114" s="395">
        <v>-67476.670000000013</v>
      </c>
      <c r="K114" s="397">
        <f>K113-K112</f>
        <v>-149300</v>
      </c>
      <c r="L114" s="325">
        <f t="shared" si="59"/>
        <v>-1005.4100000000003</v>
      </c>
      <c r="M114" s="315">
        <f t="shared" si="59"/>
        <v>-5348.1099999999988</v>
      </c>
      <c r="N114" s="315">
        <f t="shared" si="59"/>
        <v>-10154.89</v>
      </c>
      <c r="O114" s="315">
        <f t="shared" si="59"/>
        <v>4994.7200000000012</v>
      </c>
      <c r="P114" s="315">
        <f t="shared" si="59"/>
        <v>9393.429999999993</v>
      </c>
      <c r="Q114" s="315">
        <f t="shared" si="59"/>
        <v>-4528.9400000000096</v>
      </c>
      <c r="R114" s="315">
        <f t="shared" si="59"/>
        <v>-13758.290000000015</v>
      </c>
      <c r="S114" s="315">
        <f t="shared" si="59"/>
        <v>-19865.960000000006</v>
      </c>
      <c r="T114" s="315">
        <f t="shared" si="59"/>
        <v>-23684.750000000015</v>
      </c>
      <c r="U114" s="315" t="e">
        <f t="shared" ref="U114" si="62">U113-U112</f>
        <v>#REF!</v>
      </c>
      <c r="V114" s="315" t="e">
        <f t="shared" si="59"/>
        <v>#REF!</v>
      </c>
      <c r="W114" s="307" t="e">
        <f t="shared" si="59"/>
        <v>#REF!</v>
      </c>
      <c r="X114" s="20"/>
      <c r="Y114" s="20"/>
    </row>
    <row r="115" spans="1:25">
      <c r="L115" s="20"/>
      <c r="M115" s="20"/>
      <c r="N115" s="20"/>
      <c r="O115" s="20"/>
      <c r="P115" s="20"/>
      <c r="Q115" s="20"/>
      <c r="R115" s="20"/>
      <c r="S115" s="20"/>
      <c r="T115" s="20"/>
      <c r="U115" s="20"/>
      <c r="V115" s="20"/>
      <c r="W115" s="20"/>
      <c r="X115" s="20"/>
      <c r="Y115" s="20"/>
    </row>
    <row r="116" spans="1:25">
      <c r="L116" s="20"/>
      <c r="M116" s="20"/>
      <c r="N116" s="20"/>
      <c r="O116" s="20"/>
      <c r="P116" s="20"/>
      <c r="Q116" s="20"/>
      <c r="R116" s="20"/>
      <c r="S116" s="20"/>
      <c r="T116" s="20"/>
      <c r="U116" s="20"/>
      <c r="V116" s="20"/>
      <c r="W116" s="20"/>
      <c r="X116" s="20"/>
      <c r="Y116" s="20"/>
    </row>
    <row r="117" spans="1:25">
      <c r="L117" s="20"/>
      <c r="M117" s="20"/>
      <c r="N117" s="20"/>
      <c r="O117" s="20"/>
      <c r="P117" s="20"/>
      <c r="Q117" s="20"/>
      <c r="R117" s="20"/>
      <c r="S117" s="20"/>
      <c r="T117" s="20"/>
      <c r="U117" s="20"/>
      <c r="V117" s="20"/>
      <c r="W117" s="20"/>
      <c r="X117" s="20"/>
      <c r="Y117" s="20"/>
    </row>
  </sheetData>
  <pageMargins left="0.31496062992125984" right="0.31496062992125984" top="0.39370078740157483" bottom="0.19685039370078741" header="0.31496062992125984" footer="0.31496062992125984"/>
  <pageSetup paperSize="9" scale="95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E031FC-9DCD-4BCF-A0A8-F8C296F2A91A}">
  <dimension ref="A1:Y30"/>
  <sheetViews>
    <sheetView workbookViewId="0">
      <selection activeCell="S13" sqref="S13"/>
    </sheetView>
  </sheetViews>
  <sheetFormatPr defaultColWidth="11.42578125" defaultRowHeight="14.45" outlineLevelRow="2"/>
  <cols>
    <col min="1" max="1" width="8.140625" customWidth="1"/>
    <col min="2" max="2" width="7.28515625" customWidth="1"/>
    <col min="3" max="3" width="40.28515625" customWidth="1"/>
    <col min="4" max="5" width="12.140625" hidden="1" customWidth="1"/>
    <col min="6" max="23" width="12.140625" customWidth="1"/>
  </cols>
  <sheetData>
    <row r="1" spans="1:25">
      <c r="A1" s="275" t="s">
        <v>1147</v>
      </c>
      <c r="B1" s="194"/>
      <c r="C1" s="194"/>
      <c r="D1" s="62" t="s">
        <v>622</v>
      </c>
      <c r="E1" s="63" t="s">
        <v>622</v>
      </c>
      <c r="F1" s="62" t="s">
        <v>622</v>
      </c>
      <c r="G1" s="308" t="s">
        <v>622</v>
      </c>
      <c r="H1" s="62" t="s">
        <v>622</v>
      </c>
      <c r="I1" s="308" t="s">
        <v>622</v>
      </c>
      <c r="J1" s="406" t="s">
        <v>622</v>
      </c>
      <c r="K1" s="308" t="s">
        <v>622</v>
      </c>
      <c r="L1" s="195" t="s">
        <v>622</v>
      </c>
      <c r="M1" s="196" t="s">
        <v>622</v>
      </c>
      <c r="N1" s="196" t="s">
        <v>622</v>
      </c>
      <c r="O1" s="196" t="s">
        <v>622</v>
      </c>
      <c r="P1" s="196" t="s">
        <v>622</v>
      </c>
      <c r="Q1" s="196" t="s">
        <v>622</v>
      </c>
      <c r="R1" s="196" t="s">
        <v>622</v>
      </c>
      <c r="S1" s="196" t="s">
        <v>622</v>
      </c>
      <c r="T1" s="196" t="s">
        <v>622</v>
      </c>
      <c r="U1" s="196" t="s">
        <v>622</v>
      </c>
      <c r="V1" s="196" t="s">
        <v>622</v>
      </c>
      <c r="W1" s="63" t="s">
        <v>622</v>
      </c>
    </row>
    <row r="2" spans="1:25">
      <c r="A2" s="197"/>
      <c r="B2" s="22"/>
      <c r="C2" s="22"/>
      <c r="D2" s="67" t="s">
        <v>626</v>
      </c>
      <c r="E2" s="68" t="s">
        <v>626</v>
      </c>
      <c r="F2" s="67" t="s">
        <v>627</v>
      </c>
      <c r="G2" s="309" t="s">
        <v>627</v>
      </c>
      <c r="H2" s="67" t="s">
        <v>627</v>
      </c>
      <c r="I2" s="309" t="s">
        <v>628</v>
      </c>
      <c r="J2" s="407" t="s">
        <v>1101</v>
      </c>
      <c r="K2" s="309" t="s">
        <v>1102</v>
      </c>
      <c r="L2" s="69" t="s">
        <v>1103</v>
      </c>
      <c r="M2" s="69" t="s">
        <v>1103</v>
      </c>
      <c r="N2" s="69" t="s">
        <v>1103</v>
      </c>
      <c r="O2" s="69" t="s">
        <v>1103</v>
      </c>
      <c r="P2" s="69" t="s">
        <v>1103</v>
      </c>
      <c r="Q2" s="69" t="s">
        <v>1103</v>
      </c>
      <c r="R2" s="69" t="s">
        <v>1103</v>
      </c>
      <c r="S2" s="69" t="s">
        <v>1103</v>
      </c>
      <c r="T2" s="69" t="s">
        <v>1103</v>
      </c>
      <c r="U2" s="69" t="s">
        <v>1103</v>
      </c>
      <c r="V2" s="69" t="s">
        <v>1103</v>
      </c>
      <c r="W2" s="69" t="s">
        <v>1103</v>
      </c>
    </row>
    <row r="3" spans="1:25">
      <c r="A3" s="197" t="s">
        <v>1104</v>
      </c>
      <c r="B3" s="22" t="s">
        <v>1105</v>
      </c>
      <c r="C3" s="22"/>
      <c r="D3" s="67" t="s">
        <v>629</v>
      </c>
      <c r="E3" s="70" t="s">
        <v>630</v>
      </c>
      <c r="F3" s="67" t="s">
        <v>629</v>
      </c>
      <c r="G3" s="309" t="s">
        <v>629</v>
      </c>
      <c r="H3" s="67" t="s">
        <v>1106</v>
      </c>
      <c r="I3" s="309" t="s">
        <v>629</v>
      </c>
      <c r="J3" s="407" t="s">
        <v>630</v>
      </c>
      <c r="K3" s="309" t="s">
        <v>629</v>
      </c>
      <c r="L3" s="181" t="s">
        <v>630</v>
      </c>
      <c r="M3" s="71" t="s">
        <v>630</v>
      </c>
      <c r="N3" s="71" t="s">
        <v>630</v>
      </c>
      <c r="O3" s="71" t="s">
        <v>630</v>
      </c>
      <c r="P3" s="71" t="s">
        <v>630</v>
      </c>
      <c r="Q3" s="71" t="s">
        <v>630</v>
      </c>
      <c r="R3" s="71" t="s">
        <v>630</v>
      </c>
      <c r="S3" s="71" t="s">
        <v>630</v>
      </c>
      <c r="T3" s="71" t="s">
        <v>630</v>
      </c>
      <c r="U3" s="71" t="s">
        <v>630</v>
      </c>
      <c r="V3" s="71" t="s">
        <v>630</v>
      </c>
      <c r="W3" s="70" t="s">
        <v>630</v>
      </c>
    </row>
    <row r="4" spans="1:25" ht="31.15" thickBot="1">
      <c r="A4" s="198" t="s">
        <v>632</v>
      </c>
      <c r="B4" s="76"/>
      <c r="C4" s="76" t="s">
        <v>633</v>
      </c>
      <c r="D4" s="72" t="s">
        <v>1107</v>
      </c>
      <c r="E4" s="73">
        <v>45199</v>
      </c>
      <c r="F4" s="72" t="s">
        <v>637</v>
      </c>
      <c r="G4" s="330" t="s">
        <v>1108</v>
      </c>
      <c r="H4" s="72">
        <v>45565</v>
      </c>
      <c r="I4" s="310" t="s">
        <v>1109</v>
      </c>
      <c r="J4" s="408">
        <v>45930</v>
      </c>
      <c r="K4" s="409" t="s">
        <v>1110</v>
      </c>
      <c r="L4" s="454">
        <v>45961</v>
      </c>
      <c r="M4" s="838">
        <v>45991</v>
      </c>
      <c r="N4" s="838">
        <v>46022</v>
      </c>
      <c r="O4" s="838">
        <v>46053</v>
      </c>
      <c r="P4" s="838">
        <v>46081</v>
      </c>
      <c r="Q4" s="838">
        <v>46112</v>
      </c>
      <c r="R4" s="838">
        <v>46142</v>
      </c>
      <c r="S4" s="838">
        <v>46173</v>
      </c>
      <c r="T4" s="838">
        <v>46203</v>
      </c>
      <c r="U4" s="838">
        <v>46234</v>
      </c>
      <c r="V4" s="838">
        <v>46265</v>
      </c>
      <c r="W4" s="521">
        <v>46295</v>
      </c>
    </row>
    <row r="5" spans="1:25" ht="15" thickBot="1">
      <c r="A5" s="240"/>
      <c r="B5" s="241"/>
      <c r="C5" s="242" t="s">
        <v>652</v>
      </c>
      <c r="D5" s="232"/>
      <c r="E5" s="233"/>
      <c r="F5" s="234"/>
      <c r="G5" s="234"/>
      <c r="H5" s="369"/>
      <c r="I5" s="234"/>
      <c r="J5" s="234"/>
      <c r="K5" s="234"/>
      <c r="L5" s="235"/>
      <c r="M5" s="236"/>
      <c r="N5" s="236"/>
      <c r="O5" s="236"/>
      <c r="P5" s="236"/>
      <c r="Q5" s="236"/>
      <c r="R5" s="236"/>
      <c r="S5" s="236"/>
      <c r="T5" s="236"/>
      <c r="U5" s="236"/>
      <c r="V5" s="236"/>
      <c r="W5" s="237"/>
      <c r="X5" s="20"/>
      <c r="Y5" s="20"/>
    </row>
    <row r="6" spans="1:25" outlineLevel="2">
      <c r="A6" s="839" t="s">
        <v>87</v>
      </c>
      <c r="B6" s="840" t="s">
        <v>52</v>
      </c>
      <c r="C6" s="841" t="s">
        <v>1111</v>
      </c>
      <c r="D6" s="842">
        <f>Haushalt!G38</f>
        <v>56381</v>
      </c>
      <c r="E6" s="889">
        <f>Fachschaften_Gesamt!E6</f>
        <v>37655.370000000003</v>
      </c>
      <c r="F6" s="842">
        <f>Haushalt!I38</f>
        <v>46150</v>
      </c>
      <c r="G6" s="842" t="e">
        <f>Haushalt!#REF!</f>
        <v>#REF!</v>
      </c>
      <c r="H6" s="367">
        <v>44449.34</v>
      </c>
      <c r="I6" s="842">
        <v>48000</v>
      </c>
      <c r="J6" s="455">
        <v>45959.97</v>
      </c>
      <c r="K6" s="842">
        <f>Fachschaften_Gesamt!K6</f>
        <v>45000</v>
      </c>
      <c r="L6" s="456">
        <f>Fachschaften_Gesamt!L6</f>
        <v>449.1</v>
      </c>
      <c r="M6" s="456">
        <f>Fachschaften_Gesamt!M6</f>
        <v>449.1</v>
      </c>
      <c r="N6" s="456">
        <f>Fachschaften_Gesamt!N6</f>
        <v>499</v>
      </c>
      <c r="O6" s="456">
        <f>Fachschaften_Gesamt!O6</f>
        <v>14071.89</v>
      </c>
      <c r="P6" s="456">
        <f>Fachschaften_Gesamt!P6</f>
        <v>21357.48</v>
      </c>
      <c r="Q6" s="456">
        <f>Fachschaften_Gesamt!Q6</f>
        <v>21307.48</v>
      </c>
      <c r="R6" s="456">
        <f>Fachschaften_Gesamt!R6</f>
        <v>21307.48</v>
      </c>
      <c r="S6" s="456">
        <f>Fachschaften_Gesamt!S6</f>
        <v>21307.48</v>
      </c>
      <c r="T6" s="456">
        <f>Fachschaften_Gesamt!T6</f>
        <v>21307.48</v>
      </c>
      <c r="U6" s="456" t="e">
        <f>Fachschaften_Gesamt!U6</f>
        <v>#REF!</v>
      </c>
      <c r="V6" s="456" t="e">
        <f>Fachschaften_Gesamt!V6</f>
        <v>#REF!</v>
      </c>
      <c r="W6" s="456" t="e">
        <f>Fachschaften_Gesamt!W6</f>
        <v>#REF!</v>
      </c>
      <c r="X6" s="20"/>
      <c r="Y6" s="20"/>
    </row>
    <row r="7" spans="1:25" outlineLevel="2">
      <c r="A7" s="845" t="s">
        <v>101</v>
      </c>
      <c r="B7" s="490"/>
      <c r="C7" s="846" t="s">
        <v>1112</v>
      </c>
      <c r="D7" s="847">
        <f>Haushalt!G45</f>
        <v>0</v>
      </c>
      <c r="E7" s="847"/>
      <c r="F7" s="847">
        <f>Haushalt!I45</f>
        <v>0</v>
      </c>
      <c r="G7" s="847" t="e">
        <f>Haushalt!#REF!</f>
        <v>#REF!</v>
      </c>
      <c r="H7" s="890">
        <v>0</v>
      </c>
      <c r="I7" s="847">
        <v>0</v>
      </c>
      <c r="J7" s="850">
        <v>0</v>
      </c>
      <c r="K7" s="847">
        <f>Fachschaften_Gesamt!K7</f>
        <v>0</v>
      </c>
      <c r="L7" s="853">
        <f>Fachschaften_Gesamt!L7</f>
        <v>0</v>
      </c>
      <c r="M7" s="853">
        <f>Fachschaften_Gesamt!M7</f>
        <v>0</v>
      </c>
      <c r="N7" s="853">
        <f>Fachschaften_Gesamt!N7</f>
        <v>0</v>
      </c>
      <c r="O7" s="853">
        <f>Fachschaften_Gesamt!O7</f>
        <v>0</v>
      </c>
      <c r="P7" s="853">
        <f>Fachschaften_Gesamt!P7</f>
        <v>0</v>
      </c>
      <c r="Q7" s="853">
        <f>Fachschaften_Gesamt!Q7</f>
        <v>0</v>
      </c>
      <c r="R7" s="853">
        <f>Fachschaften_Gesamt!R7</f>
        <v>0</v>
      </c>
      <c r="S7" s="853">
        <f>Fachschaften_Gesamt!S7</f>
        <v>0</v>
      </c>
      <c r="T7" s="853">
        <f>Fachschaften_Gesamt!T7</f>
        <v>0</v>
      </c>
      <c r="U7" s="853">
        <f>Fachschaften_Gesamt!U7</f>
        <v>0</v>
      </c>
      <c r="V7" s="853">
        <f>Fachschaften_Gesamt!V7</f>
        <v>0</v>
      </c>
      <c r="W7" s="853">
        <f>Fachschaften_Gesamt!W7</f>
        <v>0</v>
      </c>
      <c r="X7" s="20"/>
      <c r="Y7" s="20"/>
    </row>
    <row r="8" spans="1:25" ht="15" outlineLevel="2" thickBot="1">
      <c r="A8" s="231" t="s">
        <v>108</v>
      </c>
      <c r="B8" s="227"/>
      <c r="C8" s="244" t="s">
        <v>1113</v>
      </c>
      <c r="D8" s="228">
        <f>Haushalt!G52</f>
        <v>0</v>
      </c>
      <c r="E8" s="228"/>
      <c r="F8" s="228">
        <f>Haushalt!I52</f>
        <v>0</v>
      </c>
      <c r="G8" s="228" t="e">
        <f>Haushalt!#REF!</f>
        <v>#REF!</v>
      </c>
      <c r="H8" s="368">
        <v>0</v>
      </c>
      <c r="I8" s="228">
        <v>0</v>
      </c>
      <c r="J8" s="352">
        <v>0</v>
      </c>
      <c r="K8" s="228">
        <f>Fachschaften_Gesamt!K8</f>
        <v>0</v>
      </c>
      <c r="L8" s="229">
        <f>Fachschaften_Gesamt!L8</f>
        <v>0</v>
      </c>
      <c r="M8" s="229">
        <f>Fachschaften_Gesamt!M8</f>
        <v>0</v>
      </c>
      <c r="N8" s="229">
        <f>Fachschaften_Gesamt!N8</f>
        <v>0</v>
      </c>
      <c r="O8" s="229">
        <f>Fachschaften_Gesamt!O8</f>
        <v>0</v>
      </c>
      <c r="P8" s="229">
        <f>Fachschaften_Gesamt!P8</f>
        <v>0</v>
      </c>
      <c r="Q8" s="229">
        <f>Fachschaften_Gesamt!Q8</f>
        <v>0</v>
      </c>
      <c r="R8" s="229">
        <f>Fachschaften_Gesamt!R8</f>
        <v>0</v>
      </c>
      <c r="S8" s="229">
        <f>Fachschaften_Gesamt!S8</f>
        <v>0</v>
      </c>
      <c r="T8" s="229">
        <f>Fachschaften_Gesamt!T8</f>
        <v>0</v>
      </c>
      <c r="U8" s="229">
        <f>Fachschaften_Gesamt!U8</f>
        <v>0</v>
      </c>
      <c r="V8" s="229">
        <f>Fachschaften_Gesamt!V8</f>
        <v>0</v>
      </c>
      <c r="W8" s="229">
        <f>Fachschaften_Gesamt!W8</f>
        <v>0</v>
      </c>
      <c r="X8" s="20"/>
      <c r="Y8" s="20"/>
    </row>
    <row r="9" spans="1:25" ht="15" thickBot="1">
      <c r="A9" s="200"/>
      <c r="B9" s="201"/>
      <c r="C9" s="202" t="s">
        <v>1126</v>
      </c>
      <c r="D9" s="224">
        <f t="shared" ref="D9:W9" si="0">SUM(D6:D8)</f>
        <v>56381</v>
      </c>
      <c r="E9" s="203">
        <f t="shared" si="0"/>
        <v>37655.370000000003</v>
      </c>
      <c r="F9" s="224">
        <f t="shared" si="0"/>
        <v>46150</v>
      </c>
      <c r="G9" s="224" t="e">
        <f t="shared" ref="G9:I9" si="1">SUM(G6:G8)</f>
        <v>#REF!</v>
      </c>
      <c r="H9" s="224">
        <f t="shared" si="1"/>
        <v>44449.34</v>
      </c>
      <c r="I9" s="224">
        <f t="shared" si="1"/>
        <v>48000</v>
      </c>
      <c r="J9" s="403">
        <v>45959.97</v>
      </c>
      <c r="K9" s="224">
        <f>SUM(K6:K8)</f>
        <v>45000</v>
      </c>
      <c r="L9" s="204">
        <f t="shared" si="0"/>
        <v>449.1</v>
      </c>
      <c r="M9" s="205">
        <f t="shared" si="0"/>
        <v>449.1</v>
      </c>
      <c r="N9" s="205">
        <f t="shared" si="0"/>
        <v>499</v>
      </c>
      <c r="O9" s="205">
        <f t="shared" si="0"/>
        <v>14071.89</v>
      </c>
      <c r="P9" s="205">
        <f t="shared" si="0"/>
        <v>21357.48</v>
      </c>
      <c r="Q9" s="205">
        <f t="shared" si="0"/>
        <v>21307.48</v>
      </c>
      <c r="R9" s="205">
        <f t="shared" si="0"/>
        <v>21307.48</v>
      </c>
      <c r="S9" s="205">
        <f t="shared" si="0"/>
        <v>21307.48</v>
      </c>
      <c r="T9" s="205">
        <f t="shared" si="0"/>
        <v>21307.48</v>
      </c>
      <c r="U9" s="205" t="e">
        <f t="shared" ref="U9" si="2">SUM(U6:U8)</f>
        <v>#REF!</v>
      </c>
      <c r="V9" s="205" t="e">
        <f t="shared" si="0"/>
        <v>#REF!</v>
      </c>
      <c r="W9" s="205" t="e">
        <f t="shared" si="0"/>
        <v>#REF!</v>
      </c>
      <c r="X9" s="20"/>
      <c r="Y9" s="20"/>
    </row>
    <row r="10" spans="1:25" ht="15" thickBot="1">
      <c r="A10" s="22"/>
      <c r="B10" s="22"/>
      <c r="C10" s="22"/>
      <c r="D10" s="206"/>
      <c r="E10" s="207"/>
      <c r="F10" s="206"/>
      <c r="G10" s="206"/>
      <c r="H10" s="206"/>
      <c r="I10" s="206"/>
      <c r="J10" s="206"/>
      <c r="K10" s="412"/>
      <c r="L10" s="90"/>
      <c r="M10" s="90"/>
      <c r="N10" s="90"/>
      <c r="O10" s="90"/>
      <c r="P10" s="90"/>
      <c r="Q10" s="90"/>
      <c r="R10" s="90"/>
      <c r="S10" s="90"/>
      <c r="T10" s="90"/>
      <c r="U10" s="90"/>
      <c r="V10" s="90"/>
      <c r="W10" s="208"/>
      <c r="X10" s="20"/>
      <c r="Y10" s="20"/>
    </row>
    <row r="11" spans="1:25" ht="15" thickBot="1">
      <c r="A11" s="238" t="s">
        <v>968</v>
      </c>
      <c r="B11" s="239"/>
      <c r="C11" s="243" t="s">
        <v>969</v>
      </c>
      <c r="D11" s="83"/>
      <c r="E11" s="101"/>
      <c r="F11" s="83"/>
      <c r="G11" s="83"/>
      <c r="H11" s="83"/>
      <c r="I11" s="83"/>
      <c r="J11" s="83"/>
      <c r="K11" s="413"/>
      <c r="L11" s="96"/>
      <c r="M11" s="96"/>
      <c r="N11" s="96"/>
      <c r="O11" s="96"/>
      <c r="P11" s="96"/>
      <c r="Q11" s="96"/>
      <c r="R11" s="96"/>
      <c r="S11" s="96"/>
      <c r="T11" s="96"/>
      <c r="U11" s="96"/>
      <c r="V11" s="90"/>
      <c r="W11" s="96"/>
      <c r="X11" s="20"/>
      <c r="Y11" s="20"/>
    </row>
    <row r="12" spans="1:25" outlineLevel="1">
      <c r="A12" s="891" t="s">
        <v>157</v>
      </c>
      <c r="B12" s="891" t="s">
        <v>970</v>
      </c>
      <c r="C12" s="864" t="s">
        <v>1127</v>
      </c>
      <c r="D12" s="225">
        <f>800*12</f>
        <v>9600</v>
      </c>
      <c r="E12" s="268">
        <f>Fachschaften_Gesamt!E24</f>
        <v>9600</v>
      </c>
      <c r="F12" s="225">
        <f>800*12</f>
        <v>9600</v>
      </c>
      <c r="G12" s="225">
        <f>800*12</f>
        <v>9600</v>
      </c>
      <c r="H12" s="225">
        <v>9600</v>
      </c>
      <c r="I12" s="372">
        <v>9600</v>
      </c>
      <c r="J12" s="372">
        <v>9600</v>
      </c>
      <c r="K12" s="225">
        <f>Fachschaften_Gesamt!K24</f>
        <v>9600</v>
      </c>
      <c r="L12" s="298">
        <f>Fachschaften_Gesamt!L24</f>
        <v>0</v>
      </c>
      <c r="M12" s="298">
        <f>Fachschaften_Gesamt!M24</f>
        <v>0</v>
      </c>
      <c r="N12" s="298">
        <f>Fachschaften_Gesamt!N24</f>
        <v>0</v>
      </c>
      <c r="O12" s="298">
        <f>Fachschaften_Gesamt!O24</f>
        <v>0</v>
      </c>
      <c r="P12" s="298">
        <f>Fachschaften_Gesamt!P24</f>
        <v>0</v>
      </c>
      <c r="Q12" s="298">
        <f>Fachschaften_Gesamt!Q24</f>
        <v>0</v>
      </c>
      <c r="R12" s="298">
        <f>Fachschaften_Gesamt!R24</f>
        <v>0</v>
      </c>
      <c r="S12" s="298">
        <f>Fachschaften_Gesamt!S24</f>
        <v>0</v>
      </c>
      <c r="T12" s="298">
        <f>Fachschaften_Gesamt!T24</f>
        <v>0</v>
      </c>
      <c r="U12" s="298">
        <f>Fachschaften_Gesamt!U24</f>
        <v>0</v>
      </c>
      <c r="V12" s="298">
        <f>Fachschaften_Gesamt!V24</f>
        <v>0</v>
      </c>
      <c r="W12" s="298">
        <f>Fachschaften_Gesamt!W24</f>
        <v>0</v>
      </c>
      <c r="X12" s="20"/>
      <c r="Y12" s="20"/>
    </row>
    <row r="13" spans="1:25" outlineLevel="1">
      <c r="A13" s="865" t="s">
        <v>162</v>
      </c>
      <c r="B13" s="865" t="s">
        <v>970</v>
      </c>
      <c r="C13" s="864" t="s">
        <v>1128</v>
      </c>
      <c r="D13" s="892">
        <f>Haushalt!G89</f>
        <v>8600</v>
      </c>
      <c r="E13" s="893">
        <f>Fachschaften_Gesamt!E25</f>
        <v>3695</v>
      </c>
      <c r="F13" s="892">
        <f>Haushalt!I89</f>
        <v>8600</v>
      </c>
      <c r="G13" s="892" t="e">
        <f>Haushalt!#REF!</f>
        <v>#REF!</v>
      </c>
      <c r="H13" s="892">
        <v>6315.5</v>
      </c>
      <c r="I13" s="894">
        <v>9500</v>
      </c>
      <c r="J13" s="894">
        <v>4100</v>
      </c>
      <c r="K13" s="892">
        <f>Fachschaften_Gesamt!K25</f>
        <v>9500</v>
      </c>
      <c r="L13" s="853">
        <f>Fachschaften_Gesamt!L25</f>
        <v>80</v>
      </c>
      <c r="M13" s="853">
        <f>Fachschaften_Gesamt!M25</f>
        <v>835</v>
      </c>
      <c r="N13" s="853">
        <f>Fachschaften_Gesamt!N25</f>
        <v>1280</v>
      </c>
      <c r="O13" s="853">
        <f>Fachschaften_Gesamt!O25</f>
        <v>1550</v>
      </c>
      <c r="P13" s="853">
        <f>Fachschaften_Gesamt!P25</f>
        <v>1550</v>
      </c>
      <c r="Q13" s="853">
        <f>Fachschaften_Gesamt!Q25</f>
        <v>1550</v>
      </c>
      <c r="R13" s="853">
        <f>Fachschaften_Gesamt!R25</f>
        <v>1880</v>
      </c>
      <c r="S13" s="853">
        <f>Fachschaften_Gesamt!S25</f>
        <v>2280</v>
      </c>
      <c r="T13" s="853">
        <f>Fachschaften_Gesamt!T25</f>
        <v>2600</v>
      </c>
      <c r="U13" s="853"/>
      <c r="V13" s="853"/>
      <c r="W13" s="853"/>
      <c r="X13" s="20"/>
      <c r="Y13" s="20"/>
    </row>
    <row r="14" spans="1:25" outlineLevel="1">
      <c r="A14" s="865" t="s">
        <v>275</v>
      </c>
      <c r="B14" s="865" t="s">
        <v>276</v>
      </c>
      <c r="C14" s="895" t="s">
        <v>1129</v>
      </c>
      <c r="D14" s="892">
        <f>Haushalt!G137</f>
        <v>15000</v>
      </c>
      <c r="E14" s="893">
        <f>Fachschaften_Gesamt!E26</f>
        <v>4457.1000000000004</v>
      </c>
      <c r="F14" s="892">
        <f>Haushalt!I137</f>
        <v>15000</v>
      </c>
      <c r="G14" s="892" t="e">
        <f>Haushalt!#REF!</f>
        <v>#REF!</v>
      </c>
      <c r="H14" s="892">
        <v>9623.41</v>
      </c>
      <c r="I14" s="894">
        <v>14000</v>
      </c>
      <c r="J14" s="894">
        <v>6469.75</v>
      </c>
      <c r="K14" s="892">
        <f>Fachschaften_Gesamt!K26</f>
        <v>14000</v>
      </c>
      <c r="L14" s="853">
        <f>Fachschaften_Gesamt!L26</f>
        <v>376</v>
      </c>
      <c r="M14" s="853">
        <f>Fachschaften_Gesamt!M26</f>
        <v>1610.31</v>
      </c>
      <c r="N14" s="853">
        <f>Fachschaften_Gesamt!N26</f>
        <v>2170.3900000000003</v>
      </c>
      <c r="O14" s="853">
        <f>Fachschaften_Gesamt!O26</f>
        <v>2651.08</v>
      </c>
      <c r="P14" s="853">
        <f>Fachschaften_Gesamt!P26</f>
        <v>2651.08</v>
      </c>
      <c r="Q14" s="853">
        <f>Fachschaften_Gesamt!Q26</f>
        <v>2651.08</v>
      </c>
      <c r="R14" s="853">
        <f>Fachschaften_Gesamt!R26</f>
        <v>3576.83</v>
      </c>
      <c r="S14" s="853">
        <f>Fachschaften_Gesamt!S26</f>
        <v>4964.26</v>
      </c>
      <c r="T14" s="853">
        <f>Fachschaften_Gesamt!T26</f>
        <v>5329.66</v>
      </c>
      <c r="U14" s="853" t="e">
        <f>Fachschaften_Gesamt!U26</f>
        <v>#REF!</v>
      </c>
      <c r="V14" s="853" t="e">
        <f>Fachschaften_Gesamt!V26</f>
        <v>#REF!</v>
      </c>
      <c r="W14" s="853" t="e">
        <f>Fachschaften_Gesamt!W26</f>
        <v>#REF!</v>
      </c>
      <c r="X14" s="20"/>
      <c r="Y14" s="20"/>
    </row>
    <row r="15" spans="1:25" outlineLevel="1">
      <c r="A15" s="865" t="s">
        <v>299</v>
      </c>
      <c r="B15" s="865" t="s">
        <v>300</v>
      </c>
      <c r="C15" s="864" t="s">
        <v>1130</v>
      </c>
      <c r="D15" s="892">
        <f>Haushalt!G149</f>
        <v>4200</v>
      </c>
      <c r="E15" s="893">
        <f>Fachschaften_Gesamt!E27</f>
        <v>1647.92</v>
      </c>
      <c r="F15" s="892">
        <f>Haushalt!I149</f>
        <v>3000</v>
      </c>
      <c r="G15" s="892" t="e">
        <f>Haushalt!#REF!</f>
        <v>#REF!</v>
      </c>
      <c r="H15" s="892">
        <v>2757.48</v>
      </c>
      <c r="I15" s="894">
        <v>6000</v>
      </c>
      <c r="J15" s="894">
        <v>4907.83</v>
      </c>
      <c r="K15" s="892">
        <f>Fachschaften_Gesamt!K27</f>
        <v>6000</v>
      </c>
      <c r="L15" s="853">
        <f>Fachschaften_Gesamt!L27</f>
        <v>134.32</v>
      </c>
      <c r="M15" s="853">
        <f>Fachschaften_Gesamt!M27</f>
        <v>860.27</v>
      </c>
      <c r="N15" s="853">
        <f>Fachschaften_Gesamt!N27</f>
        <v>994.58999999999992</v>
      </c>
      <c r="O15" s="853">
        <f>Fachschaften_Gesamt!O27</f>
        <v>1356.6999999999998</v>
      </c>
      <c r="P15" s="853">
        <f>Fachschaften_Gesamt!P27</f>
        <v>1491.02</v>
      </c>
      <c r="Q15" s="853">
        <f>Fachschaften_Gesamt!Q27</f>
        <v>1625.34</v>
      </c>
      <c r="R15" s="853">
        <f>Fachschaften_Gesamt!R27</f>
        <v>2165.46</v>
      </c>
      <c r="S15" s="853">
        <f>Fachschaften_Gesamt!S27</f>
        <v>2299.7799999999997</v>
      </c>
      <c r="T15" s="853">
        <f>Fachschaften_Gesamt!T27</f>
        <v>2434.1000000000004</v>
      </c>
      <c r="U15" s="853" t="e">
        <f>Fachschaften_Gesamt!U27</f>
        <v>#REF!</v>
      </c>
      <c r="V15" s="853" t="e">
        <f>Fachschaften_Gesamt!V27</f>
        <v>#REF!</v>
      </c>
      <c r="W15" s="853" t="e">
        <f>Fachschaften_Gesamt!W27</f>
        <v>#REF!</v>
      </c>
      <c r="X15" s="20"/>
      <c r="Y15" s="20"/>
    </row>
    <row r="16" spans="1:25" outlineLevel="1">
      <c r="A16" s="865" t="s">
        <v>325</v>
      </c>
      <c r="B16" s="865" t="s">
        <v>978</v>
      </c>
      <c r="C16" s="896" t="s">
        <v>1131</v>
      </c>
      <c r="D16" s="892">
        <f>Haushalt!G161</f>
        <v>1000</v>
      </c>
      <c r="E16" s="893">
        <f>Fachschaften_Gesamt!E28</f>
        <v>148.96</v>
      </c>
      <c r="F16" s="892">
        <f>Haushalt!I161</f>
        <v>2000</v>
      </c>
      <c r="G16" s="892" t="e">
        <f>Haushalt!#REF!</f>
        <v>#REF!</v>
      </c>
      <c r="H16" s="892">
        <v>4.59</v>
      </c>
      <c r="I16" s="894">
        <v>500</v>
      </c>
      <c r="J16" s="894">
        <v>1261.3899999999999</v>
      </c>
      <c r="K16" s="892">
        <f>Fachschaften_Gesamt!K28</f>
        <v>500</v>
      </c>
      <c r="L16" s="853">
        <f>Fachschaften_Gesamt!L28</f>
        <v>0</v>
      </c>
      <c r="M16" s="853">
        <f>Fachschaften_Gesamt!M28</f>
        <v>0</v>
      </c>
      <c r="N16" s="853">
        <f>Fachschaften_Gesamt!N28</f>
        <v>0</v>
      </c>
      <c r="O16" s="853">
        <f>Fachschaften_Gesamt!O28</f>
        <v>0</v>
      </c>
      <c r="P16" s="853">
        <f>Fachschaften_Gesamt!P28</f>
        <v>0</v>
      </c>
      <c r="Q16" s="853">
        <f>Fachschaften_Gesamt!Q28</f>
        <v>0</v>
      </c>
      <c r="R16" s="853">
        <f>Fachschaften_Gesamt!R28</f>
        <v>0</v>
      </c>
      <c r="S16" s="853">
        <f>Fachschaften_Gesamt!S28</f>
        <v>0</v>
      </c>
      <c r="T16" s="853">
        <f>Fachschaften_Gesamt!T28</f>
        <v>0</v>
      </c>
      <c r="U16" s="853" t="e">
        <f>Fachschaften_Gesamt!U28</f>
        <v>#REF!</v>
      </c>
      <c r="V16" s="853" t="e">
        <f>Fachschaften_Gesamt!V28</f>
        <v>#REF!</v>
      </c>
      <c r="W16" s="853" t="e">
        <f>Fachschaften_Gesamt!W28</f>
        <v>#REF!</v>
      </c>
      <c r="X16" s="20"/>
      <c r="Y16" s="20"/>
    </row>
    <row r="17" spans="1:25" outlineLevel="1">
      <c r="A17" s="865" t="s">
        <v>371</v>
      </c>
      <c r="B17" s="865" t="s">
        <v>974</v>
      </c>
      <c r="C17" s="897" t="s">
        <v>1132</v>
      </c>
      <c r="D17" s="892">
        <f>Haushalt!G185</f>
        <v>45600</v>
      </c>
      <c r="E17" s="893">
        <f>Fachschaften_Gesamt!E29</f>
        <v>32556.25</v>
      </c>
      <c r="F17" s="892">
        <f>Haushalt!I185</f>
        <v>40000</v>
      </c>
      <c r="G17" s="892" t="e">
        <f>Haushalt!#REF!</f>
        <v>#REF!</v>
      </c>
      <c r="H17" s="892">
        <v>25505.38</v>
      </c>
      <c r="I17" s="894">
        <v>43750</v>
      </c>
      <c r="J17" s="894">
        <v>38662.5</v>
      </c>
      <c r="K17" s="892">
        <f>Fachschaften_Gesamt!K29</f>
        <v>43750</v>
      </c>
      <c r="L17" s="853">
        <f>Fachschaften_Gesamt!L29</f>
        <v>0</v>
      </c>
      <c r="M17" s="853">
        <f>Fachschaften_Gesamt!M29</f>
        <v>0</v>
      </c>
      <c r="N17" s="853">
        <f>Fachschaften_Gesamt!N29</f>
        <v>0</v>
      </c>
      <c r="O17" s="853">
        <f>Fachschaften_Gesamt!O29</f>
        <v>0</v>
      </c>
      <c r="P17" s="853">
        <f>Fachschaften_Gesamt!P29</f>
        <v>5362.5</v>
      </c>
      <c r="Q17" s="853">
        <f>Fachschaften_Gesamt!Q29</f>
        <v>12807.5</v>
      </c>
      <c r="R17" s="853">
        <f>Fachschaften_Gesamt!R29</f>
        <v>16547.5</v>
      </c>
      <c r="S17" s="853">
        <f>Fachschaften_Gesamt!S29</f>
        <v>16547.5</v>
      </c>
      <c r="T17" s="853">
        <f>Fachschaften_Gesamt!T29</f>
        <v>16547.5</v>
      </c>
      <c r="U17" s="853" t="e">
        <f>Fachschaften_Gesamt!U29</f>
        <v>#REF!</v>
      </c>
      <c r="V17" s="853" t="e">
        <f>Fachschaften_Gesamt!V29</f>
        <v>#REF!</v>
      </c>
      <c r="W17" s="853" t="e">
        <f>Fachschaften_Gesamt!W29</f>
        <v>#REF!</v>
      </c>
      <c r="X17" s="20"/>
      <c r="Y17" s="20"/>
    </row>
    <row r="18" spans="1:25" outlineLevel="1">
      <c r="A18" s="865" t="s">
        <v>382</v>
      </c>
      <c r="B18" s="865" t="s">
        <v>974</v>
      </c>
      <c r="C18" s="864" t="s">
        <v>354</v>
      </c>
      <c r="D18" s="892">
        <f>Haushalt!G191</f>
        <v>2000</v>
      </c>
      <c r="E18" s="893"/>
      <c r="F18" s="892">
        <f>Haushalt!I191</f>
        <v>1000</v>
      </c>
      <c r="G18" s="892" t="e">
        <f>Haushalt!#REF!</f>
        <v>#REF!</v>
      </c>
      <c r="H18" s="892">
        <v>5465.44</v>
      </c>
      <c r="I18" s="894">
        <v>1000</v>
      </c>
      <c r="J18" s="894">
        <v>0</v>
      </c>
      <c r="K18" s="892">
        <f>Fachschaften_Gesamt!K30</f>
        <v>1000</v>
      </c>
      <c r="L18" s="853">
        <f>Fachschaften_Gesamt!L30</f>
        <v>0</v>
      </c>
      <c r="M18" s="853">
        <f>Fachschaften_Gesamt!M30</f>
        <v>0</v>
      </c>
      <c r="N18" s="853">
        <f>Fachschaften_Gesamt!N30</f>
        <v>0</v>
      </c>
      <c r="O18" s="853">
        <f>Fachschaften_Gesamt!O30</f>
        <v>0</v>
      </c>
      <c r="P18" s="853">
        <f>Fachschaften_Gesamt!P30</f>
        <v>0</v>
      </c>
      <c r="Q18" s="853">
        <f>Fachschaften_Gesamt!Q30</f>
        <v>0</v>
      </c>
      <c r="R18" s="853">
        <f>Fachschaften_Gesamt!R30</f>
        <v>0</v>
      </c>
      <c r="S18" s="853">
        <f>Fachschaften_Gesamt!S30</f>
        <v>0</v>
      </c>
      <c r="T18" s="853">
        <f>Fachschaften_Gesamt!T30</f>
        <v>0</v>
      </c>
      <c r="U18" s="853" t="e">
        <f>Fachschaften_Gesamt!U30</f>
        <v>#REF!</v>
      </c>
      <c r="V18" s="853" t="e">
        <f>Fachschaften_Gesamt!V30</f>
        <v>#REF!</v>
      </c>
      <c r="W18" s="853" t="e">
        <f>Fachschaften_Gesamt!W30</f>
        <v>#REF!</v>
      </c>
      <c r="X18" s="20"/>
      <c r="Y18" s="20"/>
    </row>
    <row r="19" spans="1:25" outlineLevel="1">
      <c r="A19" s="865" t="s">
        <v>393</v>
      </c>
      <c r="B19" s="865" t="s">
        <v>974</v>
      </c>
      <c r="C19" s="864" t="s">
        <v>1133</v>
      </c>
      <c r="D19" s="892">
        <f>Haushalt!G197</f>
        <v>1100</v>
      </c>
      <c r="E19" s="893"/>
      <c r="F19" s="892">
        <f>Haushalt!I197</f>
        <v>500</v>
      </c>
      <c r="G19" s="892" t="e">
        <f>Haushalt!#REF!</f>
        <v>#REF!</v>
      </c>
      <c r="H19" s="892">
        <v>5465.44</v>
      </c>
      <c r="I19" s="894">
        <v>500</v>
      </c>
      <c r="J19" s="894">
        <v>0</v>
      </c>
      <c r="K19" s="892">
        <f>Fachschaften_Gesamt!K31</f>
        <v>500</v>
      </c>
      <c r="L19" s="853">
        <f>Fachschaften_Gesamt!L31</f>
        <v>0</v>
      </c>
      <c r="M19" s="853">
        <f>Fachschaften_Gesamt!M31</f>
        <v>0</v>
      </c>
      <c r="N19" s="853">
        <f>Fachschaften_Gesamt!N31</f>
        <v>0</v>
      </c>
      <c r="O19" s="853">
        <f>Fachschaften_Gesamt!O31</f>
        <v>0</v>
      </c>
      <c r="P19" s="853">
        <f>Fachschaften_Gesamt!P31</f>
        <v>0</v>
      </c>
      <c r="Q19" s="853">
        <f>Fachschaften_Gesamt!Q31</f>
        <v>0</v>
      </c>
      <c r="R19" s="853">
        <f>Fachschaften_Gesamt!R31</f>
        <v>0</v>
      </c>
      <c r="S19" s="853">
        <f>Fachschaften_Gesamt!S31</f>
        <v>0</v>
      </c>
      <c r="T19" s="853">
        <f>Fachschaften_Gesamt!T31</f>
        <v>0</v>
      </c>
      <c r="U19" s="853" t="e">
        <f>Fachschaften_Gesamt!U31</f>
        <v>#REF!</v>
      </c>
      <c r="V19" s="853" t="e">
        <f>Fachschaften_Gesamt!V31</f>
        <v>#REF!</v>
      </c>
      <c r="W19" s="853" t="e">
        <f>Fachschaften_Gesamt!W31</f>
        <v>#REF!</v>
      </c>
      <c r="X19" s="20"/>
      <c r="Y19" s="20"/>
    </row>
    <row r="20" spans="1:25" outlineLevel="1">
      <c r="A20" s="898" t="s">
        <v>400</v>
      </c>
      <c r="B20" s="899" t="s">
        <v>982</v>
      </c>
      <c r="C20" s="900" t="s">
        <v>399</v>
      </c>
      <c r="D20" s="877">
        <f>Haushalt!G203</f>
        <v>1500</v>
      </c>
      <c r="E20" s="878">
        <f>Fachschaften_Gesamt!E32</f>
        <v>0</v>
      </c>
      <c r="F20" s="877">
        <f>Haushalt!I203</f>
        <v>500</v>
      </c>
      <c r="G20" s="877" t="e">
        <f>Haushalt!#REF!</f>
        <v>#REF!</v>
      </c>
      <c r="H20" s="877">
        <v>41.13</v>
      </c>
      <c r="I20" s="901">
        <v>1500</v>
      </c>
      <c r="J20" s="901">
        <v>642.6</v>
      </c>
      <c r="K20" s="892">
        <f>Fachschaften_Gesamt!K32</f>
        <v>1500</v>
      </c>
      <c r="L20" s="853">
        <f>Fachschaften_Gesamt!L32</f>
        <v>0</v>
      </c>
      <c r="M20" s="853">
        <f>Fachschaften_Gesamt!M32</f>
        <v>0</v>
      </c>
      <c r="N20" s="853">
        <f>Fachschaften_Gesamt!N32</f>
        <v>0</v>
      </c>
      <c r="O20" s="853">
        <f>Fachschaften_Gesamt!O32</f>
        <v>0</v>
      </c>
      <c r="P20" s="853">
        <f>Fachschaften_Gesamt!P32</f>
        <v>0</v>
      </c>
      <c r="Q20" s="853">
        <f>Fachschaften_Gesamt!Q32</f>
        <v>0</v>
      </c>
      <c r="R20" s="853">
        <f>Fachschaften_Gesamt!R32</f>
        <v>0</v>
      </c>
      <c r="S20" s="853">
        <f>Fachschaften_Gesamt!S32</f>
        <v>0</v>
      </c>
      <c r="T20" s="853">
        <f>Fachschaften_Gesamt!T32</f>
        <v>0</v>
      </c>
      <c r="U20" s="853" t="e">
        <f>Fachschaften_Gesamt!U32</f>
        <v>#REF!</v>
      </c>
      <c r="V20" s="853" t="e">
        <f>Fachschaften_Gesamt!V32</f>
        <v>#REF!</v>
      </c>
      <c r="W20" s="853" t="e">
        <f>Fachschaften_Gesamt!W32</f>
        <v>#REF!</v>
      </c>
      <c r="X20" s="20"/>
      <c r="Y20" s="20"/>
    </row>
    <row r="21" spans="1:25" outlineLevel="1">
      <c r="A21" s="898" t="s">
        <v>412</v>
      </c>
      <c r="B21" s="898" t="s">
        <v>413</v>
      </c>
      <c r="C21" s="900" t="s">
        <v>1134</v>
      </c>
      <c r="D21" s="877">
        <f>Haushalt!G209</f>
        <v>3000</v>
      </c>
      <c r="E21" s="878">
        <f>Fachschaften_Gesamt!E33</f>
        <v>0</v>
      </c>
      <c r="F21" s="877">
        <f>Haushalt!I209</f>
        <v>500</v>
      </c>
      <c r="G21" s="877" t="e">
        <f>Haushalt!#REF!</f>
        <v>#REF!</v>
      </c>
      <c r="H21" s="877">
        <v>0</v>
      </c>
      <c r="I21" s="901">
        <v>500</v>
      </c>
      <c r="J21" s="901">
        <v>0</v>
      </c>
      <c r="K21" s="892">
        <f>Fachschaften_Gesamt!K33</f>
        <v>500</v>
      </c>
      <c r="L21" s="853">
        <f>Fachschaften_Gesamt!L33</f>
        <v>0</v>
      </c>
      <c r="M21" s="853">
        <f>Fachschaften_Gesamt!M33</f>
        <v>0</v>
      </c>
      <c r="N21" s="853">
        <f>Fachschaften_Gesamt!N33</f>
        <v>0</v>
      </c>
      <c r="O21" s="853">
        <f>Fachschaften_Gesamt!O33</f>
        <v>0</v>
      </c>
      <c r="P21" s="853">
        <f>Fachschaften_Gesamt!P33</f>
        <v>0</v>
      </c>
      <c r="Q21" s="853">
        <f>Fachschaften_Gesamt!Q33</f>
        <v>0</v>
      </c>
      <c r="R21" s="853">
        <f>Fachschaften_Gesamt!R33</f>
        <v>0</v>
      </c>
      <c r="S21" s="853">
        <f>Fachschaften_Gesamt!S33</f>
        <v>0</v>
      </c>
      <c r="T21" s="853">
        <f>Fachschaften_Gesamt!T33</f>
        <v>0</v>
      </c>
      <c r="U21" s="853" t="e">
        <f>Fachschaften_Gesamt!U33</f>
        <v>#REF!</v>
      </c>
      <c r="V21" s="853" t="e">
        <f>Fachschaften_Gesamt!V33</f>
        <v>#REF!</v>
      </c>
      <c r="W21" s="853" t="e">
        <f>Fachschaften_Gesamt!W33</f>
        <v>#REF!</v>
      </c>
      <c r="X21" s="20"/>
      <c r="Y21" s="20"/>
    </row>
    <row r="22" spans="1:25" outlineLevel="1">
      <c r="A22" s="898" t="s">
        <v>424</v>
      </c>
      <c r="B22" s="898" t="s">
        <v>984</v>
      </c>
      <c r="C22" s="900" t="s">
        <v>1135</v>
      </c>
      <c r="D22" s="877">
        <f>Haushalt!G215</f>
        <v>4000</v>
      </c>
      <c r="E22" s="878">
        <f>Fachschaften_Gesamt!E34</f>
        <v>2413.98</v>
      </c>
      <c r="F22" s="877">
        <f>Haushalt!I215</f>
        <v>3500</v>
      </c>
      <c r="G22" s="877" t="e">
        <f>Haushalt!#REF!</f>
        <v>#REF!</v>
      </c>
      <c r="H22" s="877">
        <v>240.67</v>
      </c>
      <c r="I22" s="901">
        <v>5000</v>
      </c>
      <c r="J22" s="901">
        <v>228</v>
      </c>
      <c r="K22" s="892">
        <f>Fachschaften_Gesamt!K34</f>
        <v>5000</v>
      </c>
      <c r="L22" s="853">
        <f>Fachschaften_Gesamt!L34</f>
        <v>0</v>
      </c>
      <c r="M22" s="853">
        <f>Fachschaften_Gesamt!M34</f>
        <v>0</v>
      </c>
      <c r="N22" s="853">
        <f>Fachschaften_Gesamt!N34</f>
        <v>0</v>
      </c>
      <c r="O22" s="853">
        <f>Fachschaften_Gesamt!O34</f>
        <v>0</v>
      </c>
      <c r="P22" s="853">
        <f>Fachschaften_Gesamt!P34</f>
        <v>0</v>
      </c>
      <c r="Q22" s="853">
        <f>Fachschaften_Gesamt!Q34</f>
        <v>0</v>
      </c>
      <c r="R22" s="853">
        <f>Fachschaften_Gesamt!R34</f>
        <v>0</v>
      </c>
      <c r="S22" s="853">
        <f>Fachschaften_Gesamt!S34</f>
        <v>0</v>
      </c>
      <c r="T22" s="853">
        <f>Fachschaften_Gesamt!T34</f>
        <v>0</v>
      </c>
      <c r="U22" s="853" t="e">
        <f>Fachschaften_Gesamt!U34</f>
        <v>#REF!</v>
      </c>
      <c r="V22" s="853" t="e">
        <f>Fachschaften_Gesamt!V34</f>
        <v>#REF!</v>
      </c>
      <c r="W22" s="853" t="e">
        <f>Fachschaften_Gesamt!W34</f>
        <v>#REF!</v>
      </c>
      <c r="X22" s="20"/>
      <c r="Y22" s="20"/>
    </row>
    <row r="23" spans="1:25" outlineLevel="1">
      <c r="A23" s="898" t="s">
        <v>436</v>
      </c>
      <c r="B23" s="898" t="s">
        <v>1148</v>
      </c>
      <c r="C23" s="902" t="s">
        <v>1136</v>
      </c>
      <c r="D23" s="877">
        <f>Haushalt!G221</f>
        <v>3400</v>
      </c>
      <c r="E23" s="878"/>
      <c r="F23" s="877">
        <f>Haushalt!I221</f>
        <v>2500</v>
      </c>
      <c r="G23" s="877" t="e">
        <f>Haushalt!#REF!</f>
        <v>#REF!</v>
      </c>
      <c r="H23" s="877">
        <v>2166.06</v>
      </c>
      <c r="I23" s="901">
        <v>2000</v>
      </c>
      <c r="J23" s="901">
        <v>1652.53</v>
      </c>
      <c r="K23" s="892">
        <f>Fachschaften_Gesamt!K35</f>
        <v>3150</v>
      </c>
      <c r="L23" s="853">
        <f>Fachschaften_Gesamt!L35</f>
        <v>99</v>
      </c>
      <c r="M23" s="853">
        <f>Fachschaften_Gesamt!M35</f>
        <v>368</v>
      </c>
      <c r="N23" s="853">
        <f>Fachschaften_Gesamt!N35</f>
        <v>467</v>
      </c>
      <c r="O23" s="853">
        <f>Fachschaften_Gesamt!O35</f>
        <v>566</v>
      </c>
      <c r="P23" s="853">
        <f>Fachschaften_Gesamt!P35</f>
        <v>1252.8699999999999</v>
      </c>
      <c r="Q23" s="853">
        <f>Fachschaften_Gesamt!Q35</f>
        <v>1597.2</v>
      </c>
      <c r="R23" s="853">
        <f>Fachschaften_Gesamt!R35</f>
        <v>1781.2</v>
      </c>
      <c r="S23" s="853">
        <f>Fachschaften_Gesamt!S35</f>
        <v>1880.2</v>
      </c>
      <c r="T23" s="853">
        <f>Fachschaften_Gesamt!T35</f>
        <v>1979.2</v>
      </c>
      <c r="U23" s="853" t="e">
        <f>Fachschaften_Gesamt!U35</f>
        <v>#REF!</v>
      </c>
      <c r="V23" s="853" t="e">
        <f>Fachschaften_Gesamt!V35</f>
        <v>#REF!</v>
      </c>
      <c r="W23" s="853" t="e">
        <f>Fachschaften_Gesamt!W35</f>
        <v>#REF!</v>
      </c>
      <c r="X23" s="20"/>
      <c r="Y23" s="20"/>
    </row>
    <row r="24" spans="1:25" ht="15" outlineLevel="1" thickBot="1">
      <c r="A24" s="898" t="s">
        <v>464</v>
      </c>
      <c r="B24" s="898" t="s">
        <v>987</v>
      </c>
      <c r="C24" s="903" t="s">
        <v>1137</v>
      </c>
      <c r="D24" s="226">
        <f>Haushalt!G235/5</f>
        <v>584</v>
      </c>
      <c r="E24" s="878">
        <f>Fachschaften_Gesamt!E36</f>
        <v>0</v>
      </c>
      <c r="F24" s="226">
        <f>Haushalt!I235/5</f>
        <v>490</v>
      </c>
      <c r="G24" s="226" t="e">
        <f>Haushalt!#REF!/5</f>
        <v>#REF!</v>
      </c>
      <c r="H24" s="226">
        <v>0</v>
      </c>
      <c r="I24" s="904">
        <v>200</v>
      </c>
      <c r="J24" s="904">
        <v>0</v>
      </c>
      <c r="K24" s="892">
        <f>Fachschaften_Gesamt!K36</f>
        <v>0</v>
      </c>
      <c r="L24" s="853">
        <f>Fachschaften_Gesamt!L36</f>
        <v>0</v>
      </c>
      <c r="M24" s="853">
        <f>Fachschaften_Gesamt!M36</f>
        <v>0</v>
      </c>
      <c r="N24" s="853">
        <f>Fachschaften_Gesamt!N36</f>
        <v>0</v>
      </c>
      <c r="O24" s="853">
        <f>Fachschaften_Gesamt!O36</f>
        <v>0</v>
      </c>
      <c r="P24" s="853">
        <f>Fachschaften_Gesamt!P36</f>
        <v>0</v>
      </c>
      <c r="Q24" s="853">
        <f>Fachschaften_Gesamt!Q36</f>
        <v>0</v>
      </c>
      <c r="R24" s="853">
        <f>Fachschaften_Gesamt!R36</f>
        <v>0</v>
      </c>
      <c r="S24" s="853">
        <f>Fachschaften_Gesamt!S36</f>
        <v>0</v>
      </c>
      <c r="T24" s="853">
        <f>Fachschaften_Gesamt!T36</f>
        <v>0</v>
      </c>
      <c r="U24" s="853" t="e">
        <f>Fachschaften_Gesamt!U36</f>
        <v>#REF!</v>
      </c>
      <c r="V24" s="853" t="e">
        <f>Fachschaften_Gesamt!V36</f>
        <v>#REF!</v>
      </c>
      <c r="W24" s="853" t="e">
        <f>Fachschaften_Gesamt!W36</f>
        <v>#REF!</v>
      </c>
      <c r="X24" s="20"/>
      <c r="Y24" s="20"/>
    </row>
    <row r="25" spans="1:25">
      <c r="A25" s="209"/>
      <c r="B25" s="210"/>
      <c r="C25" s="211" t="s">
        <v>1079</v>
      </c>
      <c r="D25" s="212">
        <f t="shared" ref="D25:E25" si="3">SUM(D12:D24)</f>
        <v>99584</v>
      </c>
      <c r="E25" s="269">
        <f t="shared" si="3"/>
        <v>54519.21</v>
      </c>
      <c r="F25" s="212">
        <f t="shared" ref="F25:S25" si="4">SUM(F12:F24)</f>
        <v>87190</v>
      </c>
      <c r="G25" s="212" t="e">
        <f t="shared" ref="G25:H25" si="5">SUM(G12:G24)</f>
        <v>#REF!</v>
      </c>
      <c r="H25" s="212">
        <f t="shared" si="5"/>
        <v>67185.100000000006</v>
      </c>
      <c r="I25" s="212">
        <f t="shared" ref="I25" si="6">SUM(I12:I24)</f>
        <v>94050</v>
      </c>
      <c r="J25" s="362">
        <v>67524.600000000006</v>
      </c>
      <c r="K25" s="212">
        <f>SUM(K12:K24)</f>
        <v>95000</v>
      </c>
      <c r="L25" s="370">
        <f t="shared" si="4"/>
        <v>689.31999999999994</v>
      </c>
      <c r="M25" s="213">
        <f t="shared" si="4"/>
        <v>3673.58</v>
      </c>
      <c r="N25" s="213">
        <f t="shared" si="4"/>
        <v>4911.9800000000005</v>
      </c>
      <c r="O25" s="213">
        <f t="shared" si="4"/>
        <v>6123.78</v>
      </c>
      <c r="P25" s="213">
        <f t="shared" si="4"/>
        <v>12307.470000000001</v>
      </c>
      <c r="Q25" s="213">
        <f t="shared" si="4"/>
        <v>20231.12</v>
      </c>
      <c r="R25" s="213">
        <f t="shared" si="4"/>
        <v>25950.99</v>
      </c>
      <c r="S25" s="213">
        <f t="shared" si="4"/>
        <v>27971.74</v>
      </c>
      <c r="T25" s="213">
        <f t="shared" ref="T25:U25" si="7">SUM(T12:T24)</f>
        <v>28890.460000000003</v>
      </c>
      <c r="U25" s="213" t="e">
        <f t="shared" si="7"/>
        <v>#REF!</v>
      </c>
      <c r="V25" s="213" t="e">
        <f t="shared" ref="V25:W25" si="8">SUM(V12:V24)</f>
        <v>#REF!</v>
      </c>
      <c r="W25" s="213" t="e">
        <f t="shared" si="8"/>
        <v>#REF!</v>
      </c>
      <c r="X25" s="20"/>
      <c r="Y25" s="20"/>
    </row>
    <row r="26" spans="1:25" ht="15" thickBot="1">
      <c r="A26" s="214"/>
      <c r="B26" s="215"/>
      <c r="C26" s="216" t="s">
        <v>1138</v>
      </c>
      <c r="D26" s="217">
        <f>SUM(D6+D7+D8)-D25</f>
        <v>-43203</v>
      </c>
      <c r="E26" s="217">
        <f>E6-E25</f>
        <v>-16863.839999999997</v>
      </c>
      <c r="F26" s="217">
        <f>SUM(F6+F7+F8)-F25</f>
        <v>-41040</v>
      </c>
      <c r="G26" s="217" t="e">
        <f>SUM(G6+G7+G8)-G25</f>
        <v>#REF!</v>
      </c>
      <c r="H26" s="217">
        <f>SUM(H6+H7+H8)-H25</f>
        <v>-22735.760000000009</v>
      </c>
      <c r="I26" s="217">
        <f>SUM(I6+I7+I8)-I25</f>
        <v>-46050</v>
      </c>
      <c r="J26" s="363">
        <v>-21564.630000000005</v>
      </c>
      <c r="K26" s="217">
        <f>K9-K25</f>
        <v>-50000</v>
      </c>
      <c r="L26" s="371">
        <f>L6-L25</f>
        <v>-240.21999999999991</v>
      </c>
      <c r="M26" s="218">
        <f t="shared" ref="M26:T26" si="9">M6-M25</f>
        <v>-3224.48</v>
      </c>
      <c r="N26" s="218">
        <f t="shared" si="9"/>
        <v>-4412.9800000000005</v>
      </c>
      <c r="O26" s="218">
        <f t="shared" si="9"/>
        <v>7948.11</v>
      </c>
      <c r="P26" s="218">
        <f>P9-P25</f>
        <v>9050.0099999999984</v>
      </c>
      <c r="Q26" s="218">
        <f t="shared" si="9"/>
        <v>1076.3600000000006</v>
      </c>
      <c r="R26" s="218">
        <f t="shared" si="9"/>
        <v>-4643.510000000002</v>
      </c>
      <c r="S26" s="218">
        <f t="shared" si="9"/>
        <v>-6664.260000000002</v>
      </c>
      <c r="T26" s="218">
        <f t="shared" si="9"/>
        <v>-7582.9800000000032</v>
      </c>
      <c r="U26" s="218" t="e">
        <f t="shared" ref="U26:V26" si="10">U6-U25</f>
        <v>#REF!</v>
      </c>
      <c r="V26" s="218" t="e">
        <f t="shared" si="10"/>
        <v>#REF!</v>
      </c>
      <c r="W26" s="218" t="e">
        <f t="shared" ref="W26" si="11">W6-W25</f>
        <v>#REF!</v>
      </c>
      <c r="X26" s="20"/>
      <c r="Y26" s="20"/>
    </row>
    <row r="27" spans="1:25">
      <c r="A27" s="219"/>
      <c r="B27" s="219"/>
      <c r="C27" s="219"/>
      <c r="D27" s="83"/>
      <c r="E27" s="83"/>
      <c r="F27" s="83"/>
      <c r="G27" s="83"/>
      <c r="H27" s="83"/>
      <c r="I27" s="83"/>
      <c r="J27" s="83"/>
      <c r="K27" s="83"/>
      <c r="L27" s="96"/>
      <c r="M27" s="96"/>
      <c r="N27" s="96"/>
      <c r="O27" s="96"/>
      <c r="P27" s="96"/>
      <c r="Q27" s="96"/>
      <c r="R27" s="96"/>
      <c r="S27" s="96"/>
      <c r="T27" s="96"/>
      <c r="U27" s="96"/>
      <c r="V27" s="96"/>
      <c r="W27" s="96"/>
      <c r="X27" s="20"/>
      <c r="Y27" s="20"/>
    </row>
    <row r="28" spans="1:25">
      <c r="L28" s="20"/>
      <c r="M28" s="20"/>
      <c r="N28" s="20"/>
      <c r="O28" s="20"/>
      <c r="P28" s="20"/>
      <c r="Q28" s="20"/>
      <c r="R28" s="20"/>
      <c r="S28" s="20"/>
      <c r="T28" s="20"/>
      <c r="U28" s="20"/>
      <c r="V28" s="20"/>
      <c r="W28" s="20"/>
      <c r="X28" s="20"/>
      <c r="Y28" s="20"/>
    </row>
    <row r="29" spans="1:25">
      <c r="L29" s="20"/>
      <c r="M29" s="20"/>
      <c r="N29" s="20"/>
      <c r="O29" s="20"/>
      <c r="P29" s="20"/>
      <c r="Q29" s="20"/>
      <c r="R29" s="20"/>
      <c r="S29" s="20"/>
      <c r="T29" s="20"/>
      <c r="U29" s="20"/>
      <c r="V29" s="20"/>
      <c r="W29" s="20"/>
      <c r="X29" s="20"/>
      <c r="Y29" s="20"/>
    </row>
    <row r="30" spans="1:25">
      <c r="L30" s="20"/>
      <c r="M30" s="20"/>
      <c r="N30" s="20"/>
      <c r="O30" s="20"/>
      <c r="P30" s="20"/>
      <c r="Q30" s="20"/>
      <c r="R30" s="20"/>
      <c r="S30" s="20"/>
      <c r="T30" s="20"/>
      <c r="U30" s="20"/>
      <c r="V30" s="20"/>
      <c r="W30" s="20"/>
      <c r="X30" s="20"/>
      <c r="Y30" s="20"/>
    </row>
  </sheetData>
  <pageMargins left="0.31496062992125984" right="0.31496062992125984" top="0.78740157480314965" bottom="0.78740157480314965" header="0.31496062992125984" footer="0.31496062992125984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D24F6C-CA1A-4888-BE93-C12DD9898CA4}">
  <dimension ref="A1:Y30"/>
  <sheetViews>
    <sheetView workbookViewId="0">
      <selection activeCell="T13" sqref="T13"/>
    </sheetView>
  </sheetViews>
  <sheetFormatPr defaultColWidth="11.42578125" defaultRowHeight="14.45" outlineLevelRow="2"/>
  <cols>
    <col min="1" max="2" width="7.42578125" customWidth="1"/>
    <col min="3" max="3" width="40" customWidth="1"/>
    <col min="4" max="5" width="12.140625" hidden="1" customWidth="1"/>
    <col min="6" max="23" width="12.140625" customWidth="1"/>
  </cols>
  <sheetData>
    <row r="1" spans="1:25">
      <c r="A1" s="275" t="s">
        <v>1149</v>
      </c>
      <c r="B1" s="194"/>
      <c r="C1" s="194"/>
      <c r="D1" s="62" t="s">
        <v>622</v>
      </c>
      <c r="E1" s="63" t="s">
        <v>622</v>
      </c>
      <c r="F1" s="62" t="s">
        <v>622</v>
      </c>
      <c r="G1" s="308" t="s">
        <v>622</v>
      </c>
      <c r="H1" s="62" t="s">
        <v>622</v>
      </c>
      <c r="I1" s="308" t="s">
        <v>622</v>
      </c>
      <c r="J1" s="401" t="s">
        <v>622</v>
      </c>
      <c r="K1" s="308" t="s">
        <v>622</v>
      </c>
      <c r="L1" s="195" t="s">
        <v>622</v>
      </c>
      <c r="M1" s="196" t="s">
        <v>622</v>
      </c>
      <c r="N1" s="196" t="s">
        <v>622</v>
      </c>
      <c r="O1" s="196" t="s">
        <v>622</v>
      </c>
      <c r="P1" s="196" t="s">
        <v>622</v>
      </c>
      <c r="Q1" s="196" t="s">
        <v>622</v>
      </c>
      <c r="R1" s="196" t="s">
        <v>622</v>
      </c>
      <c r="S1" s="196" t="s">
        <v>622</v>
      </c>
      <c r="T1" s="196" t="s">
        <v>622</v>
      </c>
      <c r="U1" s="196" t="s">
        <v>622</v>
      </c>
      <c r="V1" s="196" t="s">
        <v>622</v>
      </c>
      <c r="W1" s="63" t="s">
        <v>622</v>
      </c>
    </row>
    <row r="2" spans="1:25">
      <c r="A2" s="197"/>
      <c r="B2" s="22"/>
      <c r="C2" s="22"/>
      <c r="D2" s="67" t="s">
        <v>626</v>
      </c>
      <c r="E2" s="68" t="s">
        <v>626</v>
      </c>
      <c r="F2" s="67" t="s">
        <v>627</v>
      </c>
      <c r="G2" s="309" t="s">
        <v>627</v>
      </c>
      <c r="H2" s="67" t="s">
        <v>627</v>
      </c>
      <c r="I2" s="309" t="s">
        <v>628</v>
      </c>
      <c r="J2" s="279" t="s">
        <v>1101</v>
      </c>
      <c r="K2" s="309" t="s">
        <v>1102</v>
      </c>
      <c r="L2" s="69" t="s">
        <v>1103</v>
      </c>
      <c r="M2" s="69" t="s">
        <v>1103</v>
      </c>
      <c r="N2" s="69" t="s">
        <v>1103</v>
      </c>
      <c r="O2" s="69" t="s">
        <v>1103</v>
      </c>
      <c r="P2" s="69" t="s">
        <v>1103</v>
      </c>
      <c r="Q2" s="69" t="s">
        <v>1103</v>
      </c>
      <c r="R2" s="69" t="s">
        <v>1103</v>
      </c>
      <c r="S2" s="69" t="s">
        <v>1103</v>
      </c>
      <c r="T2" s="69" t="s">
        <v>1103</v>
      </c>
      <c r="U2" s="69" t="s">
        <v>1103</v>
      </c>
      <c r="V2" s="69" t="s">
        <v>1103</v>
      </c>
      <c r="W2" s="69" t="s">
        <v>1103</v>
      </c>
    </row>
    <row r="3" spans="1:25">
      <c r="A3" s="197" t="s">
        <v>1104</v>
      </c>
      <c r="B3" s="22" t="s">
        <v>1105</v>
      </c>
      <c r="C3" s="22"/>
      <c r="D3" s="67" t="s">
        <v>629</v>
      </c>
      <c r="E3" s="70" t="s">
        <v>630</v>
      </c>
      <c r="F3" s="67" t="s">
        <v>629</v>
      </c>
      <c r="G3" s="309" t="s">
        <v>629</v>
      </c>
      <c r="H3" s="67" t="s">
        <v>1106</v>
      </c>
      <c r="I3" s="309" t="s">
        <v>629</v>
      </c>
      <c r="J3" s="279" t="s">
        <v>630</v>
      </c>
      <c r="K3" s="309" t="s">
        <v>629</v>
      </c>
      <c r="L3" s="181" t="s">
        <v>630</v>
      </c>
      <c r="M3" s="71" t="s">
        <v>630</v>
      </c>
      <c r="N3" s="71" t="s">
        <v>630</v>
      </c>
      <c r="O3" s="71" t="s">
        <v>630</v>
      </c>
      <c r="P3" s="71" t="s">
        <v>630</v>
      </c>
      <c r="Q3" s="71" t="s">
        <v>630</v>
      </c>
      <c r="R3" s="71" t="s">
        <v>630</v>
      </c>
      <c r="S3" s="71" t="s">
        <v>630</v>
      </c>
      <c r="T3" s="71" t="s">
        <v>630</v>
      </c>
      <c r="U3" s="71" t="s">
        <v>630</v>
      </c>
      <c r="V3" s="71" t="s">
        <v>630</v>
      </c>
      <c r="W3" s="70" t="s">
        <v>630</v>
      </c>
    </row>
    <row r="4" spans="1:25" ht="31.15" thickBot="1">
      <c r="A4" s="198" t="s">
        <v>632</v>
      </c>
      <c r="B4" s="76"/>
      <c r="C4" s="76" t="s">
        <v>633</v>
      </c>
      <c r="D4" s="72" t="s">
        <v>1107</v>
      </c>
      <c r="E4" s="73">
        <v>45199</v>
      </c>
      <c r="F4" s="72" t="s">
        <v>637</v>
      </c>
      <c r="G4" s="330" t="s">
        <v>1108</v>
      </c>
      <c r="H4" s="72">
        <v>45565</v>
      </c>
      <c r="I4" s="310" t="s">
        <v>1109</v>
      </c>
      <c r="J4" s="402">
        <v>45930</v>
      </c>
      <c r="K4" s="409" t="s">
        <v>1110</v>
      </c>
      <c r="L4" s="905">
        <v>45961</v>
      </c>
      <c r="M4" s="906">
        <v>45991</v>
      </c>
      <c r="N4" s="906">
        <v>46022</v>
      </c>
      <c r="O4" s="906">
        <v>46053</v>
      </c>
      <c r="P4" s="906">
        <v>46081</v>
      </c>
      <c r="Q4" s="905">
        <v>46112</v>
      </c>
      <c r="R4" s="906">
        <v>46142</v>
      </c>
      <c r="S4" s="906">
        <v>46173</v>
      </c>
      <c r="T4" s="906">
        <v>46203</v>
      </c>
      <c r="U4" s="906">
        <v>46234</v>
      </c>
      <c r="V4" s="905">
        <v>46265</v>
      </c>
      <c r="W4" s="906">
        <v>46295</v>
      </c>
    </row>
    <row r="5" spans="1:25" ht="15" thickBot="1">
      <c r="A5" s="240"/>
      <c r="B5" s="241"/>
      <c r="C5" s="242" t="s">
        <v>652</v>
      </c>
      <c r="D5" s="232"/>
      <c r="E5" s="233"/>
      <c r="F5" s="234"/>
      <c r="G5" s="234"/>
      <c r="H5" s="373"/>
      <c r="I5" s="373"/>
      <c r="J5" s="369"/>
      <c r="K5" s="234"/>
      <c r="L5" s="235"/>
      <c r="M5" s="236"/>
      <c r="N5" s="236"/>
      <c r="O5" s="236"/>
      <c r="P5" s="236"/>
      <c r="Q5" s="236"/>
      <c r="R5" s="236"/>
      <c r="S5" s="236"/>
      <c r="T5" s="236"/>
      <c r="U5" s="236"/>
      <c r="V5" s="236"/>
      <c r="W5" s="237"/>
      <c r="X5" s="20"/>
      <c r="Y5" s="20"/>
    </row>
    <row r="6" spans="1:25" outlineLevel="2">
      <c r="A6" s="907" t="s">
        <v>89</v>
      </c>
      <c r="B6" s="908" t="s">
        <v>55</v>
      </c>
      <c r="C6" s="909" t="s">
        <v>1114</v>
      </c>
      <c r="D6" s="910">
        <f>Haushalt!G39</f>
        <v>10576</v>
      </c>
      <c r="E6" s="911">
        <f>Fachschaften_Gesamt!E9</f>
        <v>2690</v>
      </c>
      <c r="F6" s="910">
        <f>Haushalt!I39</f>
        <v>8510</v>
      </c>
      <c r="G6" s="910" t="e">
        <f>Haushalt!#REF!</f>
        <v>#REF!</v>
      </c>
      <c r="H6" s="910">
        <v>2595</v>
      </c>
      <c r="I6" s="910">
        <v>4500</v>
      </c>
      <c r="J6" s="367">
        <v>1200</v>
      </c>
      <c r="K6" s="910">
        <f>Fachschaften_Gesamt!K9</f>
        <v>0</v>
      </c>
      <c r="L6" s="912">
        <f>Fachschaften_Gesamt!L9</f>
        <v>0</v>
      </c>
      <c r="M6" s="912">
        <f>Fachschaften_Gesamt!M9</f>
        <v>0</v>
      </c>
      <c r="N6" s="912">
        <f>Fachschaften_Gesamt!N9</f>
        <v>0</v>
      </c>
      <c r="O6" s="912">
        <f>Fachschaften_Gesamt!O9</f>
        <v>0</v>
      </c>
      <c r="P6" s="912">
        <f>Fachschaften_Gesamt!P9</f>
        <v>0</v>
      </c>
      <c r="Q6" s="912">
        <f>Fachschaften_Gesamt!Q9</f>
        <v>0</v>
      </c>
      <c r="R6" s="912">
        <f>Fachschaften_Gesamt!R9</f>
        <v>0</v>
      </c>
      <c r="S6" s="912">
        <f>Fachschaften_Gesamt!S9</f>
        <v>0</v>
      </c>
      <c r="T6" s="912">
        <f>Fachschaften_Gesamt!T9</f>
        <v>0</v>
      </c>
      <c r="U6" s="912" t="e">
        <f>Fachschaften_Gesamt!U9</f>
        <v>#REF!</v>
      </c>
      <c r="V6" s="912" t="e">
        <f>Fachschaften_Gesamt!V9</f>
        <v>#REF!</v>
      </c>
      <c r="W6" s="912" t="e">
        <f>Fachschaften_Gesamt!W9</f>
        <v>#REF!</v>
      </c>
      <c r="X6" s="20"/>
      <c r="Y6" s="20"/>
    </row>
    <row r="7" spans="1:25" outlineLevel="2">
      <c r="A7" s="845" t="s">
        <v>102</v>
      </c>
      <c r="B7" s="490"/>
      <c r="C7" s="846" t="s">
        <v>1115</v>
      </c>
      <c r="D7" s="847">
        <f>Haushalt!G46</f>
        <v>1200</v>
      </c>
      <c r="E7" s="847"/>
      <c r="F7" s="847">
        <f>Haushalt!I46</f>
        <v>500</v>
      </c>
      <c r="G7" s="847" t="e">
        <f>Haushalt!#REF!</f>
        <v>#REF!</v>
      </c>
      <c r="H7" s="847"/>
      <c r="I7" s="847"/>
      <c r="J7" s="890">
        <v>0</v>
      </c>
      <c r="K7" s="847">
        <f>Fachschaften_Gesamt!K10</f>
        <v>0</v>
      </c>
      <c r="L7" s="853">
        <f>Fachschaften_Gesamt!L10</f>
        <v>0</v>
      </c>
      <c r="M7" s="853">
        <f>Fachschaften_Gesamt!M10</f>
        <v>0</v>
      </c>
      <c r="N7" s="853">
        <f>Fachschaften_Gesamt!N10</f>
        <v>0</v>
      </c>
      <c r="O7" s="853">
        <f>Fachschaften_Gesamt!O10</f>
        <v>0</v>
      </c>
      <c r="P7" s="853">
        <f>Fachschaften_Gesamt!P10</f>
        <v>0</v>
      </c>
      <c r="Q7" s="853">
        <f>Fachschaften_Gesamt!Q10</f>
        <v>0</v>
      </c>
      <c r="R7" s="853">
        <f>Fachschaften_Gesamt!R10</f>
        <v>0</v>
      </c>
      <c r="S7" s="853">
        <f>Fachschaften_Gesamt!S10</f>
        <v>0</v>
      </c>
      <c r="T7" s="853">
        <f>Fachschaften_Gesamt!T10</f>
        <v>0</v>
      </c>
      <c r="U7" s="853">
        <f>Fachschaften_Gesamt!U10</f>
        <v>0</v>
      </c>
      <c r="V7" s="853">
        <f>Fachschaften_Gesamt!V10</f>
        <v>0</v>
      </c>
      <c r="W7" s="853">
        <f>Fachschaften_Gesamt!W10</f>
        <v>0</v>
      </c>
      <c r="X7" s="20"/>
      <c r="Y7" s="20"/>
    </row>
    <row r="8" spans="1:25" ht="15" outlineLevel="2" thickBot="1">
      <c r="A8" s="231" t="s">
        <v>109</v>
      </c>
      <c r="B8" s="227"/>
      <c r="C8" s="199" t="s">
        <v>1116</v>
      </c>
      <c r="D8" s="228">
        <f>Haushalt!G53</f>
        <v>0</v>
      </c>
      <c r="E8" s="228"/>
      <c r="F8" s="228">
        <f>Haushalt!I53</f>
        <v>0</v>
      </c>
      <c r="G8" s="228" t="e">
        <f>Haushalt!#REF!</f>
        <v>#REF!</v>
      </c>
      <c r="H8" s="228"/>
      <c r="I8" s="228"/>
      <c r="J8" s="368">
        <v>0</v>
      </c>
      <c r="K8" s="228">
        <f>Fachschaften_Gesamt!K11</f>
        <v>0</v>
      </c>
      <c r="L8" s="229">
        <f>Fachschaften_Gesamt!L11</f>
        <v>0</v>
      </c>
      <c r="M8" s="229">
        <f>Fachschaften_Gesamt!M11</f>
        <v>0</v>
      </c>
      <c r="N8" s="229">
        <f>Fachschaften_Gesamt!N11</f>
        <v>0</v>
      </c>
      <c r="O8" s="229">
        <f>Fachschaften_Gesamt!O11</f>
        <v>0</v>
      </c>
      <c r="P8" s="229">
        <f>Fachschaften_Gesamt!P11</f>
        <v>0</v>
      </c>
      <c r="Q8" s="229">
        <f>Fachschaften_Gesamt!Q11</f>
        <v>0</v>
      </c>
      <c r="R8" s="229">
        <f>Fachschaften_Gesamt!R11</f>
        <v>0</v>
      </c>
      <c r="S8" s="229">
        <f>Fachschaften_Gesamt!S11</f>
        <v>0</v>
      </c>
      <c r="T8" s="229">
        <f>Fachschaften_Gesamt!T11</f>
        <v>0</v>
      </c>
      <c r="U8" s="229">
        <f>Fachschaften_Gesamt!U11</f>
        <v>0</v>
      </c>
      <c r="V8" s="229">
        <f>Fachschaften_Gesamt!V11</f>
        <v>0</v>
      </c>
      <c r="W8" s="229">
        <f>Fachschaften_Gesamt!W11</f>
        <v>0</v>
      </c>
      <c r="X8" s="20"/>
      <c r="Y8" s="20"/>
    </row>
    <row r="9" spans="1:25" ht="15" thickBot="1">
      <c r="A9" s="200"/>
      <c r="B9" s="201"/>
      <c r="C9" s="202" t="s">
        <v>1126</v>
      </c>
      <c r="D9" s="224">
        <f t="shared" ref="D9:W9" si="0">SUM(D6:D8)</f>
        <v>11776</v>
      </c>
      <c r="E9" s="203">
        <f t="shared" si="0"/>
        <v>2690</v>
      </c>
      <c r="F9" s="224">
        <f t="shared" si="0"/>
        <v>9010</v>
      </c>
      <c r="G9" s="224" t="e">
        <f t="shared" ref="G9:I9" si="1">SUM(G6:G8)</f>
        <v>#REF!</v>
      </c>
      <c r="H9" s="224">
        <f t="shared" si="1"/>
        <v>2595</v>
      </c>
      <c r="I9" s="224">
        <f t="shared" si="1"/>
        <v>4500</v>
      </c>
      <c r="J9" s="410">
        <v>1200</v>
      </c>
      <c r="K9" s="224">
        <f>SUM(K6:K8)</f>
        <v>0</v>
      </c>
      <c r="L9" s="204">
        <f t="shared" si="0"/>
        <v>0</v>
      </c>
      <c r="M9" s="205">
        <f t="shared" si="0"/>
        <v>0</v>
      </c>
      <c r="N9" s="205">
        <f t="shared" si="0"/>
        <v>0</v>
      </c>
      <c r="O9" s="205">
        <f t="shared" si="0"/>
        <v>0</v>
      </c>
      <c r="P9" s="205">
        <f t="shared" si="0"/>
        <v>0</v>
      </c>
      <c r="Q9" s="205">
        <f t="shared" si="0"/>
        <v>0</v>
      </c>
      <c r="R9" s="205">
        <f t="shared" si="0"/>
        <v>0</v>
      </c>
      <c r="S9" s="205">
        <f t="shared" si="0"/>
        <v>0</v>
      </c>
      <c r="T9" s="205">
        <f t="shared" si="0"/>
        <v>0</v>
      </c>
      <c r="U9" s="205" t="e">
        <f t="shared" ref="U9" si="2">SUM(U6:U8)</f>
        <v>#REF!</v>
      </c>
      <c r="V9" s="205" t="e">
        <f t="shared" si="0"/>
        <v>#REF!</v>
      </c>
      <c r="W9" s="205" t="e">
        <f t="shared" si="0"/>
        <v>#REF!</v>
      </c>
      <c r="X9" s="20"/>
      <c r="Y9" s="20"/>
    </row>
    <row r="10" spans="1:25" ht="15" thickBot="1">
      <c r="A10" s="22"/>
      <c r="B10" s="22"/>
      <c r="C10" s="22"/>
      <c r="D10" s="206"/>
      <c r="E10" s="207"/>
      <c r="F10" s="206"/>
      <c r="G10" s="206"/>
      <c r="H10" s="206"/>
      <c r="I10" s="206"/>
      <c r="J10" s="206"/>
      <c r="K10" s="412"/>
      <c r="L10" s="90"/>
      <c r="M10" s="90"/>
      <c r="N10" s="90"/>
      <c r="O10" s="90"/>
      <c r="P10" s="90"/>
      <c r="Q10" s="90"/>
      <c r="R10" s="90"/>
      <c r="S10" s="90"/>
      <c r="T10" s="90"/>
      <c r="U10" s="90"/>
      <c r="V10" s="90"/>
      <c r="W10" s="208"/>
      <c r="X10" s="20"/>
      <c r="Y10" s="20"/>
    </row>
    <row r="11" spans="1:25" ht="15" thickBot="1">
      <c r="A11" s="238" t="s">
        <v>989</v>
      </c>
      <c r="B11" s="239"/>
      <c r="C11" s="243" t="s">
        <v>990</v>
      </c>
      <c r="D11" s="83"/>
      <c r="E11" s="101"/>
      <c r="F11" s="83"/>
      <c r="G11" s="83"/>
      <c r="H11" s="83"/>
      <c r="I11" s="83"/>
      <c r="J11" s="83"/>
      <c r="K11" s="413"/>
      <c r="L11" s="96"/>
      <c r="M11" s="96"/>
      <c r="N11" s="96"/>
      <c r="O11" s="96"/>
      <c r="P11" s="96"/>
      <c r="Q11" s="96"/>
      <c r="R11" s="96"/>
      <c r="S11" s="96"/>
      <c r="T11" s="96"/>
      <c r="U11" s="96"/>
      <c r="V11" s="90"/>
      <c r="W11" s="96"/>
      <c r="X11" s="20"/>
      <c r="Y11" s="20"/>
    </row>
    <row r="12" spans="1:25" outlineLevel="1">
      <c r="A12" s="891" t="s">
        <v>157</v>
      </c>
      <c r="B12" s="891" t="s">
        <v>991</v>
      </c>
      <c r="C12" s="913" t="s">
        <v>1127</v>
      </c>
      <c r="D12" s="225">
        <f>800*12</f>
        <v>9600</v>
      </c>
      <c r="E12" s="268">
        <f>Fachschaften_Gesamt!E43</f>
        <v>8530</v>
      </c>
      <c r="F12" s="225">
        <f>800*12</f>
        <v>9600</v>
      </c>
      <c r="G12" s="225">
        <f>800*12</f>
        <v>9600</v>
      </c>
      <c r="H12" s="357">
        <v>9575</v>
      </c>
      <c r="I12" s="356">
        <v>9600</v>
      </c>
      <c r="J12" s="404">
        <v>9300</v>
      </c>
      <c r="K12" s="225">
        <f>Fachschaften_Gesamt!K43</f>
        <v>9600</v>
      </c>
      <c r="L12" s="298">
        <f>Fachschaften_Gesamt!L43</f>
        <v>0</v>
      </c>
      <c r="M12" s="298">
        <f>Fachschaften_Gesamt!M43</f>
        <v>0</v>
      </c>
      <c r="N12" s="298">
        <f>Fachschaften_Gesamt!N43</f>
        <v>0</v>
      </c>
      <c r="O12" s="298">
        <f>Fachschaften_Gesamt!O43</f>
        <v>0</v>
      </c>
      <c r="P12" s="298">
        <f>Fachschaften_Gesamt!P43</f>
        <v>0</v>
      </c>
      <c r="Q12" s="298">
        <f>Fachschaften_Gesamt!Q43</f>
        <v>0</v>
      </c>
      <c r="R12" s="298">
        <f>Fachschaften_Gesamt!R43</f>
        <v>0</v>
      </c>
      <c r="S12" s="298">
        <f>Fachschaften_Gesamt!S43</f>
        <v>0</v>
      </c>
      <c r="T12" s="298">
        <f>Fachschaften_Gesamt!T43</f>
        <v>0</v>
      </c>
      <c r="U12" s="298">
        <f>Fachschaften_Gesamt!U43</f>
        <v>0</v>
      </c>
      <c r="V12" s="298">
        <f>Fachschaften_Gesamt!V43</f>
        <v>0</v>
      </c>
      <c r="W12" s="298">
        <f>Fachschaften_Gesamt!W43</f>
        <v>0</v>
      </c>
      <c r="X12" s="20"/>
      <c r="Y12" s="20"/>
    </row>
    <row r="13" spans="1:25" outlineLevel="1">
      <c r="A13" s="914" t="s">
        <v>165</v>
      </c>
      <c r="B13" s="914" t="s">
        <v>991</v>
      </c>
      <c r="C13" s="913" t="s">
        <v>1128</v>
      </c>
      <c r="D13" s="915">
        <f>Haushalt!G90</f>
        <v>5270</v>
      </c>
      <c r="E13" s="916">
        <f>Fachschaften_Gesamt!E44</f>
        <v>540</v>
      </c>
      <c r="F13" s="915">
        <f>Haushalt!I90</f>
        <v>5270</v>
      </c>
      <c r="G13" s="915" t="e">
        <f>Haushalt!#REF!</f>
        <v>#REF!</v>
      </c>
      <c r="H13" s="917">
        <v>180</v>
      </c>
      <c r="I13" s="918">
        <v>2000</v>
      </c>
      <c r="J13" s="792">
        <v>380</v>
      </c>
      <c r="K13" s="915">
        <f>Fachschaften_Gesamt!K44</f>
        <v>2000</v>
      </c>
      <c r="L13" s="853">
        <f>Fachschaften_Gesamt!L44</f>
        <v>20</v>
      </c>
      <c r="M13" s="853">
        <f>Fachschaften_Gesamt!M44</f>
        <v>20</v>
      </c>
      <c r="N13" s="853">
        <f>Fachschaften_Gesamt!N44</f>
        <v>75</v>
      </c>
      <c r="O13" s="853">
        <f>Fachschaften_Gesamt!O44</f>
        <v>75</v>
      </c>
      <c r="P13" s="853">
        <f>Fachschaften_Gesamt!P44</f>
        <v>75</v>
      </c>
      <c r="Q13" s="853">
        <f>Fachschaften_Gesamt!Q44</f>
        <v>135</v>
      </c>
      <c r="R13" s="853">
        <f>Fachschaften_Gesamt!R44</f>
        <v>135</v>
      </c>
      <c r="S13" s="853">
        <f>Fachschaften_Gesamt!S44</f>
        <v>135</v>
      </c>
      <c r="T13" s="853">
        <f>Fachschaften_Gesamt!T44</f>
        <v>175</v>
      </c>
      <c r="U13" s="853"/>
      <c r="V13" s="853"/>
      <c r="W13" s="853" t="e">
        <f>Haushalt!#REF!</f>
        <v>#REF!</v>
      </c>
      <c r="X13" s="20"/>
      <c r="Y13" s="20"/>
    </row>
    <row r="14" spans="1:25" outlineLevel="1">
      <c r="A14" s="914" t="s">
        <v>277</v>
      </c>
      <c r="B14" s="914" t="s">
        <v>278</v>
      </c>
      <c r="C14" s="919" t="s">
        <v>1129</v>
      </c>
      <c r="D14" s="915">
        <f>Haushalt!G138</f>
        <v>3570</v>
      </c>
      <c r="E14" s="916">
        <f>Fachschaften_Gesamt!E45</f>
        <v>995.33</v>
      </c>
      <c r="F14" s="915">
        <f>Haushalt!I138</f>
        <v>6000</v>
      </c>
      <c r="G14" s="915" t="e">
        <f>Haushalt!#REF!</f>
        <v>#REF!</v>
      </c>
      <c r="H14" s="917">
        <v>130.43</v>
      </c>
      <c r="I14" s="918">
        <v>2000</v>
      </c>
      <c r="J14" s="792">
        <v>281.26</v>
      </c>
      <c r="K14" s="915">
        <f>Fachschaften_Gesamt!K45</f>
        <v>2000</v>
      </c>
      <c r="L14" s="853">
        <f>Fachschaften_Gesamt!L45</f>
        <v>0</v>
      </c>
      <c r="M14" s="853">
        <f>Fachschaften_Gesamt!M45</f>
        <v>0</v>
      </c>
      <c r="N14" s="853">
        <f>Fachschaften_Gesamt!N45</f>
        <v>12</v>
      </c>
      <c r="O14" s="853">
        <f>Fachschaften_Gesamt!O45</f>
        <v>12</v>
      </c>
      <c r="P14" s="853">
        <f>Fachschaften_Gesamt!P45</f>
        <v>12</v>
      </c>
      <c r="Q14" s="853">
        <f>Fachschaften_Gesamt!Q45</f>
        <v>63</v>
      </c>
      <c r="R14" s="853">
        <f>Fachschaften_Gesamt!R45</f>
        <v>63</v>
      </c>
      <c r="S14" s="853">
        <f>Fachschaften_Gesamt!S45</f>
        <v>63</v>
      </c>
      <c r="T14" s="853">
        <f>Fachschaften_Gesamt!T45</f>
        <v>91.8</v>
      </c>
      <c r="U14" s="853" t="e">
        <f>Fachschaften_Gesamt!U45</f>
        <v>#REF!</v>
      </c>
      <c r="V14" s="853" t="e">
        <f>Fachschaften_Gesamt!V45</f>
        <v>#REF!</v>
      </c>
      <c r="W14" s="853" t="e">
        <f>Fachschaften_Gesamt!W45</f>
        <v>#REF!</v>
      </c>
      <c r="X14" s="20"/>
      <c r="Y14" s="20"/>
    </row>
    <row r="15" spans="1:25" outlineLevel="1">
      <c r="A15" s="914" t="s">
        <v>302</v>
      </c>
      <c r="B15" s="914" t="s">
        <v>303</v>
      </c>
      <c r="C15" s="913" t="s">
        <v>1130</v>
      </c>
      <c r="D15" s="915">
        <f>Haushalt!G150</f>
        <v>2670</v>
      </c>
      <c r="E15" s="916">
        <f>Fachschaften_Gesamt!E46</f>
        <v>320</v>
      </c>
      <c r="F15" s="915">
        <f>Haushalt!I150</f>
        <v>2670</v>
      </c>
      <c r="G15" s="915" t="e">
        <f>Haushalt!#REF!</f>
        <v>#REF!</v>
      </c>
      <c r="H15" s="917">
        <v>461.4</v>
      </c>
      <c r="I15" s="918">
        <v>1500</v>
      </c>
      <c r="J15" s="792">
        <v>2613.3200000000002</v>
      </c>
      <c r="K15" s="915">
        <f>Fachschaften_Gesamt!K46</f>
        <v>1500</v>
      </c>
      <c r="L15" s="853">
        <f>Fachschaften_Gesamt!L46</f>
        <v>531.31999999999994</v>
      </c>
      <c r="M15" s="853">
        <f>Fachschaften_Gesamt!M46</f>
        <v>665.64</v>
      </c>
      <c r="N15" s="853">
        <f>Fachschaften_Gesamt!N46</f>
        <v>799.96</v>
      </c>
      <c r="O15" s="853">
        <f>Fachschaften_Gesamt!O46</f>
        <v>934.28</v>
      </c>
      <c r="P15" s="853">
        <f>Fachschaften_Gesamt!P46</f>
        <v>1068.5999999999999</v>
      </c>
      <c r="Q15" s="853">
        <f>Fachschaften_Gesamt!Q46</f>
        <v>1202.92</v>
      </c>
      <c r="R15" s="853">
        <f>Fachschaften_Gesamt!R46</f>
        <v>1202.92</v>
      </c>
      <c r="S15" s="853">
        <f>Fachschaften_Gesamt!S46</f>
        <v>1202.92</v>
      </c>
      <c r="T15" s="853">
        <f>Fachschaften_Gesamt!T46</f>
        <v>1202.92</v>
      </c>
      <c r="U15" s="853" t="e">
        <f>Fachschaften_Gesamt!U46</f>
        <v>#REF!</v>
      </c>
      <c r="V15" s="853" t="e">
        <f>Fachschaften_Gesamt!V46</f>
        <v>#REF!</v>
      </c>
      <c r="W15" s="853" t="e">
        <f>Fachschaften_Gesamt!W46</f>
        <v>#REF!</v>
      </c>
      <c r="X15" s="20"/>
      <c r="Y15" s="20"/>
    </row>
    <row r="16" spans="1:25" outlineLevel="1">
      <c r="A16" s="914" t="s">
        <v>327</v>
      </c>
      <c r="B16" s="914" t="s">
        <v>328</v>
      </c>
      <c r="C16" s="920" t="s">
        <v>1131</v>
      </c>
      <c r="D16" s="915">
        <f>Haushalt!G162</f>
        <v>1200</v>
      </c>
      <c r="E16" s="916">
        <f>Fachschaften_Gesamt!E47</f>
        <v>0</v>
      </c>
      <c r="F16" s="915">
        <f>Haushalt!I162</f>
        <v>1200</v>
      </c>
      <c r="G16" s="915" t="e">
        <f>Haushalt!#REF!</f>
        <v>#REF!</v>
      </c>
      <c r="H16" s="917">
        <v>0</v>
      </c>
      <c r="I16" s="918">
        <v>500</v>
      </c>
      <c r="J16" s="792">
        <v>1999.51</v>
      </c>
      <c r="K16" s="915">
        <f>Fachschaften_Gesamt!K47</f>
        <v>500</v>
      </c>
      <c r="L16" s="853">
        <f>Fachschaften_Gesamt!L47</f>
        <v>0</v>
      </c>
      <c r="M16" s="853">
        <f>Fachschaften_Gesamt!M47</f>
        <v>0</v>
      </c>
      <c r="N16" s="853">
        <f>Fachschaften_Gesamt!N47</f>
        <v>0</v>
      </c>
      <c r="O16" s="853">
        <f>Fachschaften_Gesamt!O47</f>
        <v>0</v>
      </c>
      <c r="P16" s="853">
        <f>Fachschaften_Gesamt!P47</f>
        <v>0</v>
      </c>
      <c r="Q16" s="853">
        <f>Fachschaften_Gesamt!Q47</f>
        <v>0</v>
      </c>
      <c r="R16" s="853">
        <f>Fachschaften_Gesamt!R47</f>
        <v>0</v>
      </c>
      <c r="S16" s="853">
        <f>Fachschaften_Gesamt!S47</f>
        <v>0</v>
      </c>
      <c r="T16" s="853">
        <f>Fachschaften_Gesamt!T47</f>
        <v>0</v>
      </c>
      <c r="U16" s="853" t="e">
        <f>Fachschaften_Gesamt!U47</f>
        <v>#REF!</v>
      </c>
      <c r="V16" s="853" t="e">
        <f>Fachschaften_Gesamt!V47</f>
        <v>#REF!</v>
      </c>
      <c r="W16" s="853" t="e">
        <f>Fachschaften_Gesamt!W47</f>
        <v>#REF!</v>
      </c>
      <c r="X16" s="20"/>
      <c r="Y16" s="20"/>
    </row>
    <row r="17" spans="1:25" outlineLevel="1">
      <c r="A17" s="914" t="s">
        <v>373</v>
      </c>
      <c r="B17" s="914" t="s">
        <v>995</v>
      </c>
      <c r="C17" s="921" t="s">
        <v>1132</v>
      </c>
      <c r="D17" s="915">
        <f>Haushalt!G186</f>
        <v>8510</v>
      </c>
      <c r="E17" s="916">
        <f>Fachschaften_Gesamt!E48</f>
        <v>2910</v>
      </c>
      <c r="F17" s="915">
        <f>Haushalt!I186</f>
        <v>8510</v>
      </c>
      <c r="G17" s="915" t="e">
        <f>Haushalt!#REF!</f>
        <v>#REF!</v>
      </c>
      <c r="H17" s="917">
        <v>2310</v>
      </c>
      <c r="I17" s="918">
        <v>4000</v>
      </c>
      <c r="J17" s="792">
        <v>990</v>
      </c>
      <c r="K17" s="915">
        <f>Fachschaften_Gesamt!K48</f>
        <v>4000</v>
      </c>
      <c r="L17" s="853">
        <f>Fachschaften_Gesamt!L48</f>
        <v>0</v>
      </c>
      <c r="M17" s="853">
        <f>Fachschaften_Gesamt!M48</f>
        <v>0</v>
      </c>
      <c r="N17" s="853">
        <f>Fachschaften_Gesamt!N48</f>
        <v>0</v>
      </c>
      <c r="O17" s="853">
        <f>Fachschaften_Gesamt!O48</f>
        <v>0</v>
      </c>
      <c r="P17" s="853">
        <f>Fachschaften_Gesamt!P48</f>
        <v>0</v>
      </c>
      <c r="Q17" s="853">
        <f>Fachschaften_Gesamt!Q48</f>
        <v>0</v>
      </c>
      <c r="R17" s="853">
        <f>Fachschaften_Gesamt!R48</f>
        <v>0</v>
      </c>
      <c r="S17" s="853">
        <f>Fachschaften_Gesamt!S48</f>
        <v>0</v>
      </c>
      <c r="T17" s="853">
        <f>Fachschaften_Gesamt!T48</f>
        <v>0</v>
      </c>
      <c r="U17" s="853" t="e">
        <f>Fachschaften_Gesamt!U48</f>
        <v>#REF!</v>
      </c>
      <c r="V17" s="853" t="e">
        <f>Fachschaften_Gesamt!V48</f>
        <v>#REF!</v>
      </c>
      <c r="W17" s="853" t="e">
        <f>Fachschaften_Gesamt!W48</f>
        <v>#REF!</v>
      </c>
      <c r="X17" s="20"/>
      <c r="Y17" s="20"/>
    </row>
    <row r="18" spans="1:25" outlineLevel="1">
      <c r="A18" s="914" t="s">
        <v>384</v>
      </c>
      <c r="B18" s="914" t="s">
        <v>995</v>
      </c>
      <c r="C18" s="913" t="s">
        <v>354</v>
      </c>
      <c r="D18" s="915">
        <f>Haushalt!G192</f>
        <v>2640</v>
      </c>
      <c r="E18" s="916"/>
      <c r="F18" s="915">
        <f>Haushalt!I192</f>
        <v>2640</v>
      </c>
      <c r="G18" s="915" t="e">
        <f>Haushalt!#REF!</f>
        <v>#REF!</v>
      </c>
      <c r="H18" s="917">
        <v>495</v>
      </c>
      <c r="I18" s="918">
        <v>2000</v>
      </c>
      <c r="J18" s="792">
        <v>0</v>
      </c>
      <c r="K18" s="915">
        <f>Fachschaften_Gesamt!K49</f>
        <v>2000</v>
      </c>
      <c r="L18" s="853">
        <f>Fachschaften_Gesamt!L49</f>
        <v>0</v>
      </c>
      <c r="M18" s="853">
        <f>Fachschaften_Gesamt!M49</f>
        <v>0</v>
      </c>
      <c r="N18" s="853">
        <f>Fachschaften_Gesamt!N49</f>
        <v>0</v>
      </c>
      <c r="O18" s="853">
        <f>Fachschaften_Gesamt!O49</f>
        <v>0</v>
      </c>
      <c r="P18" s="853">
        <f>Fachschaften_Gesamt!P49</f>
        <v>0</v>
      </c>
      <c r="Q18" s="853">
        <f>Fachschaften_Gesamt!Q49</f>
        <v>0</v>
      </c>
      <c r="R18" s="853">
        <f>Fachschaften_Gesamt!R49</f>
        <v>0</v>
      </c>
      <c r="S18" s="853">
        <f>Fachschaften_Gesamt!S49</f>
        <v>0</v>
      </c>
      <c r="T18" s="853">
        <f>Fachschaften_Gesamt!T49</f>
        <v>0</v>
      </c>
      <c r="U18" s="853" t="e">
        <f>Fachschaften_Gesamt!U49</f>
        <v>#REF!</v>
      </c>
      <c r="V18" s="853" t="e">
        <f>Fachschaften_Gesamt!V49</f>
        <v>#REF!</v>
      </c>
      <c r="W18" s="853" t="e">
        <f>Fachschaften_Gesamt!W49</f>
        <v>#REF!</v>
      </c>
      <c r="X18" s="20"/>
      <c r="Y18" s="20"/>
    </row>
    <row r="19" spans="1:25" outlineLevel="1">
      <c r="A19" s="914" t="s">
        <v>394</v>
      </c>
      <c r="B19" s="914" t="s">
        <v>995</v>
      </c>
      <c r="C19" s="913" t="s">
        <v>1133</v>
      </c>
      <c r="D19" s="915">
        <f>Haushalt!G198</f>
        <v>100</v>
      </c>
      <c r="E19" s="916"/>
      <c r="F19" s="915">
        <f>Haushalt!I198</f>
        <v>100</v>
      </c>
      <c r="G19" s="915" t="e">
        <f>Haushalt!#REF!</f>
        <v>#REF!</v>
      </c>
      <c r="H19" s="917">
        <v>495</v>
      </c>
      <c r="I19" s="918">
        <v>500</v>
      </c>
      <c r="J19" s="792">
        <v>0</v>
      </c>
      <c r="K19" s="915">
        <f>Fachschaften_Gesamt!K50</f>
        <v>500</v>
      </c>
      <c r="L19" s="853">
        <f>Fachschaften_Gesamt!L50</f>
        <v>0</v>
      </c>
      <c r="M19" s="853">
        <f>Fachschaften_Gesamt!M50</f>
        <v>0</v>
      </c>
      <c r="N19" s="853">
        <f>Fachschaften_Gesamt!N50</f>
        <v>0</v>
      </c>
      <c r="O19" s="853">
        <f>Fachschaften_Gesamt!O50</f>
        <v>0</v>
      </c>
      <c r="P19" s="853">
        <f>Fachschaften_Gesamt!P50</f>
        <v>0</v>
      </c>
      <c r="Q19" s="853">
        <f>Fachschaften_Gesamt!Q50</f>
        <v>0</v>
      </c>
      <c r="R19" s="853">
        <f>Fachschaften_Gesamt!R50</f>
        <v>0</v>
      </c>
      <c r="S19" s="853">
        <f>Fachschaften_Gesamt!S50</f>
        <v>0</v>
      </c>
      <c r="T19" s="853">
        <f>Fachschaften_Gesamt!T50</f>
        <v>0</v>
      </c>
      <c r="U19" s="853" t="e">
        <f>Fachschaften_Gesamt!U50</f>
        <v>#REF!</v>
      </c>
      <c r="V19" s="853" t="e">
        <f>Fachschaften_Gesamt!V50</f>
        <v>#REF!</v>
      </c>
      <c r="W19" s="853" t="e">
        <f>Fachschaften_Gesamt!W50</f>
        <v>#REF!</v>
      </c>
      <c r="X19" s="20"/>
      <c r="Y19" s="20"/>
    </row>
    <row r="20" spans="1:25" outlineLevel="1">
      <c r="A20" s="922" t="s">
        <v>402</v>
      </c>
      <c r="B20" s="922" t="s">
        <v>403</v>
      </c>
      <c r="C20" s="923" t="s">
        <v>399</v>
      </c>
      <c r="D20" s="915">
        <f>Haushalt!G204</f>
        <v>340</v>
      </c>
      <c r="E20" s="916">
        <f>Fachschaften_Gesamt!E51</f>
        <v>0</v>
      </c>
      <c r="F20" s="915">
        <f>Haushalt!I204</f>
        <v>340</v>
      </c>
      <c r="G20" s="915" t="e">
        <f>Haushalt!#REF!</f>
        <v>#REF!</v>
      </c>
      <c r="H20" s="917">
        <v>0</v>
      </c>
      <c r="I20" s="918">
        <v>300</v>
      </c>
      <c r="J20" s="792">
        <v>72.430000000000007</v>
      </c>
      <c r="K20" s="915">
        <f>Fachschaften_Gesamt!K51</f>
        <v>300</v>
      </c>
      <c r="L20" s="853">
        <f>Fachschaften_Gesamt!L51</f>
        <v>0</v>
      </c>
      <c r="M20" s="853">
        <f>Fachschaften_Gesamt!M51</f>
        <v>0</v>
      </c>
      <c r="N20" s="853">
        <f>Fachschaften_Gesamt!N51</f>
        <v>0</v>
      </c>
      <c r="O20" s="853">
        <f>Fachschaften_Gesamt!O51</f>
        <v>0</v>
      </c>
      <c r="P20" s="853">
        <f>Fachschaften_Gesamt!P51</f>
        <v>0</v>
      </c>
      <c r="Q20" s="853">
        <f>Fachschaften_Gesamt!Q51</f>
        <v>0</v>
      </c>
      <c r="R20" s="853">
        <f>Fachschaften_Gesamt!R51</f>
        <v>0</v>
      </c>
      <c r="S20" s="853">
        <f>Fachschaften_Gesamt!S51</f>
        <v>0</v>
      </c>
      <c r="T20" s="853">
        <f>Fachschaften_Gesamt!T51</f>
        <v>0</v>
      </c>
      <c r="U20" s="853" t="e">
        <f>Fachschaften_Gesamt!U51</f>
        <v>#REF!</v>
      </c>
      <c r="V20" s="853" t="e">
        <f>Fachschaften_Gesamt!V51</f>
        <v>#REF!</v>
      </c>
      <c r="W20" s="853" t="e">
        <f>Fachschaften_Gesamt!W51</f>
        <v>#REF!</v>
      </c>
      <c r="X20" s="20"/>
      <c r="Y20" s="20"/>
    </row>
    <row r="21" spans="1:25" outlineLevel="1">
      <c r="A21" s="924" t="s">
        <v>414</v>
      </c>
      <c r="B21" s="924" t="s">
        <v>415</v>
      </c>
      <c r="C21" s="923" t="s">
        <v>1134</v>
      </c>
      <c r="D21" s="915">
        <f>Haushalt!G210</f>
        <v>200</v>
      </c>
      <c r="E21" s="916">
        <f>Fachschaften_Gesamt!E52</f>
        <v>0</v>
      </c>
      <c r="F21" s="915">
        <f>Haushalt!I210</f>
        <v>4500</v>
      </c>
      <c r="G21" s="915" t="e">
        <f>Haushalt!#REF!</f>
        <v>#REF!</v>
      </c>
      <c r="H21" s="917">
        <v>0</v>
      </c>
      <c r="I21" s="918">
        <v>500</v>
      </c>
      <c r="J21" s="792">
        <v>0</v>
      </c>
      <c r="K21" s="915">
        <f>Fachschaften_Gesamt!K52</f>
        <v>500</v>
      </c>
      <c r="L21" s="853">
        <f>Fachschaften_Gesamt!L52</f>
        <v>0</v>
      </c>
      <c r="M21" s="853">
        <f>Fachschaften_Gesamt!M52</f>
        <v>0</v>
      </c>
      <c r="N21" s="853">
        <f>Fachschaften_Gesamt!N52</f>
        <v>0</v>
      </c>
      <c r="O21" s="853">
        <f>Fachschaften_Gesamt!O52</f>
        <v>0</v>
      </c>
      <c r="P21" s="853">
        <f>Fachschaften_Gesamt!P52</f>
        <v>0</v>
      </c>
      <c r="Q21" s="853">
        <f>Fachschaften_Gesamt!Q52</f>
        <v>0</v>
      </c>
      <c r="R21" s="853">
        <f>Fachschaften_Gesamt!R52</f>
        <v>0</v>
      </c>
      <c r="S21" s="853">
        <f>Fachschaften_Gesamt!S52</f>
        <v>0</v>
      </c>
      <c r="T21" s="853">
        <f>Fachschaften_Gesamt!T52</f>
        <v>0</v>
      </c>
      <c r="U21" s="853" t="e">
        <f>Fachschaften_Gesamt!U52</f>
        <v>#REF!</v>
      </c>
      <c r="V21" s="853" t="e">
        <f>Fachschaften_Gesamt!V52</f>
        <v>#REF!</v>
      </c>
      <c r="W21" s="853" t="e">
        <f>Fachschaften_Gesamt!W52</f>
        <v>#REF!</v>
      </c>
      <c r="X21" s="20"/>
      <c r="Y21" s="20"/>
    </row>
    <row r="22" spans="1:25" outlineLevel="1">
      <c r="A22" s="924" t="s">
        <v>426</v>
      </c>
      <c r="B22" s="924" t="s">
        <v>1002</v>
      </c>
      <c r="C22" s="923" t="s">
        <v>1135</v>
      </c>
      <c r="D22" s="915">
        <f>Haushalt!G216</f>
        <v>1500</v>
      </c>
      <c r="E22" s="916">
        <f>Fachschaften_Gesamt!E53</f>
        <v>240</v>
      </c>
      <c r="F22" s="915">
        <f>Haushalt!I216</f>
        <v>1500</v>
      </c>
      <c r="G22" s="915" t="e">
        <f>Haushalt!#REF!</f>
        <v>#REF!</v>
      </c>
      <c r="H22" s="917">
        <v>23.82</v>
      </c>
      <c r="I22" s="918">
        <v>500</v>
      </c>
      <c r="J22" s="792">
        <v>0</v>
      </c>
      <c r="K22" s="915">
        <f>Fachschaften_Gesamt!K53</f>
        <v>500</v>
      </c>
      <c r="L22" s="853">
        <f>Fachschaften_Gesamt!L53</f>
        <v>0</v>
      </c>
      <c r="M22" s="853">
        <f>Fachschaften_Gesamt!M53</f>
        <v>0</v>
      </c>
      <c r="N22" s="853">
        <f>Fachschaften_Gesamt!N53</f>
        <v>0</v>
      </c>
      <c r="O22" s="853">
        <f>Fachschaften_Gesamt!O53</f>
        <v>0</v>
      </c>
      <c r="P22" s="853">
        <f>Fachschaften_Gesamt!P53</f>
        <v>0</v>
      </c>
      <c r="Q22" s="853">
        <f>Fachschaften_Gesamt!Q53</f>
        <v>0</v>
      </c>
      <c r="R22" s="853">
        <f>Fachschaften_Gesamt!R53</f>
        <v>0</v>
      </c>
      <c r="S22" s="853">
        <f>Fachschaften_Gesamt!S53</f>
        <v>0</v>
      </c>
      <c r="T22" s="853">
        <f>Fachschaften_Gesamt!T53</f>
        <v>0</v>
      </c>
      <c r="U22" s="853" t="e">
        <f>Fachschaften_Gesamt!U53</f>
        <v>#REF!</v>
      </c>
      <c r="V22" s="853" t="e">
        <f>Fachschaften_Gesamt!V53</f>
        <v>#REF!</v>
      </c>
      <c r="W22" s="853" t="e">
        <f>Fachschaften_Gesamt!W53</f>
        <v>#REF!</v>
      </c>
      <c r="X22" s="20"/>
      <c r="Y22" s="20"/>
    </row>
    <row r="23" spans="1:25" outlineLevel="1">
      <c r="A23" s="924" t="s">
        <v>438</v>
      </c>
      <c r="B23" s="924" t="s">
        <v>1150</v>
      </c>
      <c r="C23" s="925" t="s">
        <v>1136</v>
      </c>
      <c r="D23" s="915">
        <f>Haushalt!G222</f>
        <v>1800</v>
      </c>
      <c r="E23" s="916"/>
      <c r="F23" s="915">
        <f>Haushalt!I222</f>
        <v>2300</v>
      </c>
      <c r="G23" s="915" t="e">
        <f>Haushalt!#REF!</f>
        <v>#REF!</v>
      </c>
      <c r="H23" s="917">
        <v>214.39</v>
      </c>
      <c r="I23" s="918">
        <v>500</v>
      </c>
      <c r="J23" s="792">
        <v>198.19</v>
      </c>
      <c r="K23" s="915">
        <f>Fachschaften_Gesamt!K54</f>
        <v>500</v>
      </c>
      <c r="L23" s="853">
        <f>Fachschaften_Gesamt!L54</f>
        <v>0</v>
      </c>
      <c r="M23" s="853">
        <f>Fachschaften_Gesamt!M54</f>
        <v>0</v>
      </c>
      <c r="N23" s="853">
        <f>Fachschaften_Gesamt!N54</f>
        <v>0</v>
      </c>
      <c r="O23" s="853">
        <f>Fachschaften_Gesamt!O54</f>
        <v>0</v>
      </c>
      <c r="P23" s="853">
        <f>Fachschaften_Gesamt!P54</f>
        <v>0</v>
      </c>
      <c r="Q23" s="853">
        <f>Fachschaften_Gesamt!Q54</f>
        <v>0</v>
      </c>
      <c r="R23" s="853">
        <f>Fachschaften_Gesamt!R54</f>
        <v>19.32</v>
      </c>
      <c r="S23" s="853">
        <f>Fachschaften_Gesamt!S54</f>
        <v>212.46</v>
      </c>
      <c r="T23" s="853">
        <f>Fachschaften_Gesamt!T54</f>
        <v>212.46</v>
      </c>
      <c r="U23" s="853" t="e">
        <f>Fachschaften_Gesamt!U54</f>
        <v>#REF!</v>
      </c>
      <c r="V23" s="853" t="e">
        <f>Fachschaften_Gesamt!V54</f>
        <v>#REF!</v>
      </c>
      <c r="W23" s="853" t="e">
        <f>Fachschaften_Gesamt!W54</f>
        <v>#REF!</v>
      </c>
      <c r="X23" s="20"/>
      <c r="Y23" s="20"/>
    </row>
    <row r="24" spans="1:25" ht="15" outlineLevel="1" thickBot="1">
      <c r="A24" s="924" t="s">
        <v>464</v>
      </c>
      <c r="B24" s="924" t="s">
        <v>1005</v>
      </c>
      <c r="C24" s="926" t="s">
        <v>1137</v>
      </c>
      <c r="D24" s="226">
        <f>Haushalt!G235/5</f>
        <v>584</v>
      </c>
      <c r="E24" s="927">
        <f>Fachschaften_Gesamt!E55</f>
        <v>0</v>
      </c>
      <c r="F24" s="226">
        <f>Haushalt!I235/5</f>
        <v>490</v>
      </c>
      <c r="G24" s="226" t="e">
        <f>Haushalt!#REF!/5</f>
        <v>#REF!</v>
      </c>
      <c r="H24" s="928">
        <v>0</v>
      </c>
      <c r="I24" s="929">
        <v>200</v>
      </c>
      <c r="J24" s="405">
        <v>0</v>
      </c>
      <c r="K24" s="915">
        <f>Fachschaften_Gesamt!K55</f>
        <v>0</v>
      </c>
      <c r="L24" s="853">
        <f>Fachschaften_Gesamt!L55</f>
        <v>0</v>
      </c>
      <c r="M24" s="853">
        <f>Fachschaften_Gesamt!M55</f>
        <v>0</v>
      </c>
      <c r="N24" s="853">
        <f>Fachschaften_Gesamt!N55</f>
        <v>0</v>
      </c>
      <c r="O24" s="853">
        <f>Fachschaften_Gesamt!O55</f>
        <v>0</v>
      </c>
      <c r="P24" s="853">
        <f>Fachschaften_Gesamt!P55</f>
        <v>0</v>
      </c>
      <c r="Q24" s="853">
        <f>Fachschaften_Gesamt!Q55</f>
        <v>0</v>
      </c>
      <c r="R24" s="853">
        <f>Fachschaften_Gesamt!R55</f>
        <v>0</v>
      </c>
      <c r="S24" s="853">
        <f>Fachschaften_Gesamt!S55</f>
        <v>0</v>
      </c>
      <c r="T24" s="853">
        <f>Fachschaften_Gesamt!T55</f>
        <v>0</v>
      </c>
      <c r="U24" s="853" t="e">
        <f>Fachschaften_Gesamt!U55</f>
        <v>#REF!</v>
      </c>
      <c r="V24" s="853" t="e">
        <f>Fachschaften_Gesamt!V55</f>
        <v>#REF!</v>
      </c>
      <c r="W24" s="853" t="e">
        <f>Fachschaften_Gesamt!W55</f>
        <v>#REF!</v>
      </c>
      <c r="X24" s="20"/>
      <c r="Y24" s="20"/>
    </row>
    <row r="25" spans="1:25">
      <c r="A25" s="209"/>
      <c r="B25" s="210"/>
      <c r="C25" s="211" t="s">
        <v>1079</v>
      </c>
      <c r="D25" s="212">
        <f t="shared" ref="D25:T25" si="3">SUM(D12:D24)</f>
        <v>37984</v>
      </c>
      <c r="E25" s="269">
        <f t="shared" si="3"/>
        <v>13535.33</v>
      </c>
      <c r="F25" s="212">
        <f t="shared" si="3"/>
        <v>45120</v>
      </c>
      <c r="G25" s="212" t="e">
        <f t="shared" ref="G25:H25" si="4">SUM(G12:G24)</f>
        <v>#REF!</v>
      </c>
      <c r="H25" s="212">
        <f t="shared" si="4"/>
        <v>13885.039999999999</v>
      </c>
      <c r="I25" s="212">
        <f t="shared" ref="I25" si="5">SUM(I12:I24)</f>
        <v>24100</v>
      </c>
      <c r="J25" s="360">
        <v>15834.710000000001</v>
      </c>
      <c r="K25" s="212">
        <f>SUM(K12:K24)</f>
        <v>23900</v>
      </c>
      <c r="L25" s="370">
        <f t="shared" si="3"/>
        <v>551.31999999999994</v>
      </c>
      <c r="M25" s="213">
        <f t="shared" si="3"/>
        <v>685.64</v>
      </c>
      <c r="N25" s="213">
        <f t="shared" si="3"/>
        <v>886.96</v>
      </c>
      <c r="O25" s="213">
        <f t="shared" si="3"/>
        <v>1021.28</v>
      </c>
      <c r="P25" s="213">
        <f t="shared" si="3"/>
        <v>1155.5999999999999</v>
      </c>
      <c r="Q25" s="213">
        <f t="shared" si="3"/>
        <v>1400.92</v>
      </c>
      <c r="R25" s="213">
        <f t="shared" si="3"/>
        <v>1420.24</v>
      </c>
      <c r="S25" s="213">
        <f t="shared" si="3"/>
        <v>1613.38</v>
      </c>
      <c r="T25" s="213">
        <f t="shared" si="3"/>
        <v>1682.18</v>
      </c>
      <c r="U25" s="213" t="e">
        <f t="shared" ref="U25:V25" si="6">SUM(U12:U24)</f>
        <v>#REF!</v>
      </c>
      <c r="V25" s="213" t="e">
        <f t="shared" si="6"/>
        <v>#REF!</v>
      </c>
      <c r="W25" s="213" t="e">
        <f t="shared" ref="W25" si="7">SUM(W12:W24)</f>
        <v>#REF!</v>
      </c>
      <c r="X25" s="20"/>
      <c r="Y25" s="20"/>
    </row>
    <row r="26" spans="1:25" ht="15" thickBot="1">
      <c r="A26" s="214"/>
      <c r="B26" s="215"/>
      <c r="C26" s="216" t="s">
        <v>1139</v>
      </c>
      <c r="D26" s="217">
        <f>SUM(D6+D7+D8)-D25</f>
        <v>-26208</v>
      </c>
      <c r="E26" s="217">
        <f>E6-E25</f>
        <v>-10845.33</v>
      </c>
      <c r="F26" s="217">
        <f>SUM(F6+F7+F8)-F25</f>
        <v>-36110</v>
      </c>
      <c r="G26" s="217" t="e">
        <f>SUM(G6+G7+G8)-G25</f>
        <v>#REF!</v>
      </c>
      <c r="H26" s="217">
        <f>SUM(H6+H7+H8)-H25</f>
        <v>-11290.039999999999</v>
      </c>
      <c r="I26" s="217">
        <f>SUM(I6+I7+I8)-I25</f>
        <v>-19600</v>
      </c>
      <c r="J26" s="361">
        <v>-14634.710000000001</v>
      </c>
      <c r="K26" s="217">
        <f>K9-K25</f>
        <v>-23900</v>
      </c>
      <c r="L26" s="371">
        <f t="shared" ref="L26:T26" si="8">L6-L25</f>
        <v>-551.31999999999994</v>
      </c>
      <c r="M26" s="218">
        <f t="shared" si="8"/>
        <v>-685.64</v>
      </c>
      <c r="N26" s="218">
        <f t="shared" si="8"/>
        <v>-886.96</v>
      </c>
      <c r="O26" s="218">
        <f t="shared" si="8"/>
        <v>-1021.28</v>
      </c>
      <c r="P26" s="218">
        <f>P9-P25</f>
        <v>-1155.5999999999999</v>
      </c>
      <c r="Q26" s="218">
        <f t="shared" si="8"/>
        <v>-1400.92</v>
      </c>
      <c r="R26" s="218">
        <f t="shared" si="8"/>
        <v>-1420.24</v>
      </c>
      <c r="S26" s="218">
        <f t="shared" si="8"/>
        <v>-1613.38</v>
      </c>
      <c r="T26" s="218">
        <f t="shared" si="8"/>
        <v>-1682.18</v>
      </c>
      <c r="U26" s="218" t="e">
        <f t="shared" ref="U26:V26" si="9">U6-U25</f>
        <v>#REF!</v>
      </c>
      <c r="V26" s="218" t="e">
        <f t="shared" si="9"/>
        <v>#REF!</v>
      </c>
      <c r="W26" s="218" t="e">
        <f t="shared" ref="W26" si="10">W6-W25</f>
        <v>#REF!</v>
      </c>
      <c r="X26" s="20"/>
      <c r="Y26" s="20"/>
    </row>
    <row r="27" spans="1:25">
      <c r="A27" s="219"/>
      <c r="B27" s="219"/>
      <c r="C27" s="219"/>
      <c r="D27" s="83"/>
      <c r="E27" s="83"/>
      <c r="F27" s="83"/>
      <c r="G27" s="83"/>
      <c r="H27" s="83"/>
      <c r="I27" s="83"/>
      <c r="J27" s="83"/>
      <c r="K27" s="83"/>
      <c r="L27" s="96"/>
      <c r="M27" s="96"/>
      <c r="N27" s="96"/>
      <c r="O27" s="96"/>
      <c r="P27" s="96"/>
      <c r="Q27" s="96"/>
      <c r="R27" s="96"/>
      <c r="S27" s="96"/>
      <c r="T27" s="96"/>
      <c r="U27" s="96"/>
      <c r="V27" s="96"/>
      <c r="W27" s="96"/>
      <c r="X27" s="20"/>
      <c r="Y27" s="20"/>
    </row>
    <row r="28" spans="1:25">
      <c r="L28" s="20"/>
      <c r="M28" s="20"/>
      <c r="N28" s="20"/>
      <c r="O28" s="20"/>
      <c r="P28" s="20"/>
      <c r="Q28" s="20"/>
      <c r="R28" s="20"/>
      <c r="S28" s="20"/>
      <c r="T28" s="20"/>
      <c r="U28" s="20"/>
      <c r="V28" s="20"/>
      <c r="W28" s="20"/>
      <c r="X28" s="20"/>
      <c r="Y28" s="20"/>
    </row>
    <row r="29" spans="1:25">
      <c r="L29" s="20"/>
      <c r="M29" s="20"/>
      <c r="N29" s="20"/>
      <c r="O29" s="20"/>
      <c r="P29" s="20"/>
      <c r="Q29" s="20"/>
      <c r="R29" s="20"/>
      <c r="S29" s="20"/>
      <c r="T29" s="20"/>
      <c r="U29" s="20"/>
      <c r="V29" s="20"/>
      <c r="W29" s="20"/>
      <c r="X29" s="20"/>
      <c r="Y29" s="20"/>
    </row>
    <row r="30" spans="1:25">
      <c r="L30" s="20"/>
      <c r="M30" s="20"/>
      <c r="N30" s="20"/>
      <c r="O30" s="20"/>
      <c r="P30" s="20"/>
      <c r="Q30" s="20"/>
      <c r="R30" s="20"/>
      <c r="S30" s="20"/>
      <c r="T30" s="20"/>
      <c r="U30" s="20"/>
      <c r="V30" s="20"/>
      <c r="W30" s="20"/>
      <c r="X30" s="20"/>
      <c r="Y30" s="20"/>
    </row>
  </sheetData>
  <pageMargins left="0.31496062992125984" right="0.31496062992125984" top="0.78740157480314965" bottom="0.78740157480314965" header="0.31496062992125984" footer="0.31496062992125984"/>
  <pageSetup paperSize="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283709-1897-4B97-A2BF-014AE00200BA}">
  <dimension ref="A1:Y30"/>
  <sheetViews>
    <sheetView workbookViewId="0">
      <selection activeCell="T19" sqref="T19"/>
    </sheetView>
  </sheetViews>
  <sheetFormatPr defaultColWidth="11.42578125" defaultRowHeight="14.45" outlineLevelRow="2"/>
  <cols>
    <col min="1" max="1" width="7.42578125" customWidth="1"/>
    <col min="2" max="2" width="7.28515625" customWidth="1"/>
    <col min="3" max="3" width="39.85546875" customWidth="1"/>
    <col min="4" max="5" width="12.140625" hidden="1" customWidth="1"/>
    <col min="6" max="23" width="12.140625" customWidth="1"/>
  </cols>
  <sheetData>
    <row r="1" spans="1:25">
      <c r="A1" s="275" t="s">
        <v>1149</v>
      </c>
      <c r="B1" s="194"/>
      <c r="C1" s="194"/>
      <c r="D1" s="62" t="s">
        <v>622</v>
      </c>
      <c r="E1" s="63" t="s">
        <v>622</v>
      </c>
      <c r="F1" s="62" t="s">
        <v>622</v>
      </c>
      <c r="G1" s="308" t="s">
        <v>622</v>
      </c>
      <c r="H1" s="62" t="s">
        <v>622</v>
      </c>
      <c r="I1" s="308" t="s">
        <v>622</v>
      </c>
      <c r="J1" s="406" t="s">
        <v>622</v>
      </c>
      <c r="K1" s="308" t="s">
        <v>622</v>
      </c>
      <c r="L1" s="195" t="s">
        <v>622</v>
      </c>
      <c r="M1" s="196" t="s">
        <v>622</v>
      </c>
      <c r="N1" s="196" t="s">
        <v>622</v>
      </c>
      <c r="O1" s="196" t="s">
        <v>622</v>
      </c>
      <c r="P1" s="196" t="s">
        <v>622</v>
      </c>
      <c r="Q1" s="196" t="s">
        <v>622</v>
      </c>
      <c r="R1" s="196" t="s">
        <v>622</v>
      </c>
      <c r="S1" s="196" t="s">
        <v>622</v>
      </c>
      <c r="T1" s="196" t="s">
        <v>622</v>
      </c>
      <c r="U1" s="196" t="s">
        <v>622</v>
      </c>
      <c r="V1" s="196" t="s">
        <v>622</v>
      </c>
      <c r="W1" s="63" t="s">
        <v>622</v>
      </c>
    </row>
    <row r="2" spans="1:25">
      <c r="A2" s="197"/>
      <c r="B2" s="22"/>
      <c r="C2" s="22"/>
      <c r="D2" s="67" t="s">
        <v>626</v>
      </c>
      <c r="E2" s="68" t="s">
        <v>626</v>
      </c>
      <c r="F2" s="67" t="s">
        <v>627</v>
      </c>
      <c r="G2" s="309" t="s">
        <v>627</v>
      </c>
      <c r="H2" s="67" t="s">
        <v>627</v>
      </c>
      <c r="I2" s="309" t="s">
        <v>628</v>
      </c>
      <c r="J2" s="407" t="s">
        <v>1101</v>
      </c>
      <c r="K2" s="309" t="s">
        <v>1102</v>
      </c>
      <c r="L2" s="69" t="s">
        <v>1103</v>
      </c>
      <c r="M2" s="69" t="s">
        <v>1103</v>
      </c>
      <c r="N2" s="69" t="s">
        <v>1103</v>
      </c>
      <c r="O2" s="69" t="s">
        <v>1103</v>
      </c>
      <c r="P2" s="69" t="s">
        <v>1103</v>
      </c>
      <c r="Q2" s="69" t="s">
        <v>1103</v>
      </c>
      <c r="R2" s="69" t="s">
        <v>1103</v>
      </c>
      <c r="S2" s="69" t="s">
        <v>1103</v>
      </c>
      <c r="T2" s="69" t="s">
        <v>1103</v>
      </c>
      <c r="U2" s="69" t="s">
        <v>1103</v>
      </c>
      <c r="V2" s="69" t="s">
        <v>1103</v>
      </c>
      <c r="W2" s="69" t="s">
        <v>1103</v>
      </c>
    </row>
    <row r="3" spans="1:25">
      <c r="A3" s="197" t="s">
        <v>1104</v>
      </c>
      <c r="B3" s="22" t="s">
        <v>1105</v>
      </c>
      <c r="C3" s="22"/>
      <c r="D3" s="67" t="s">
        <v>629</v>
      </c>
      <c r="E3" s="70" t="s">
        <v>630</v>
      </c>
      <c r="F3" s="67" t="s">
        <v>629</v>
      </c>
      <c r="G3" s="309" t="s">
        <v>629</v>
      </c>
      <c r="H3" s="67" t="s">
        <v>1106</v>
      </c>
      <c r="I3" s="309" t="s">
        <v>629</v>
      </c>
      <c r="J3" s="407" t="s">
        <v>630</v>
      </c>
      <c r="K3" s="309" t="s">
        <v>629</v>
      </c>
      <c r="L3" s="181" t="s">
        <v>630</v>
      </c>
      <c r="M3" s="71" t="s">
        <v>630</v>
      </c>
      <c r="N3" s="71" t="s">
        <v>630</v>
      </c>
      <c r="O3" s="71" t="s">
        <v>630</v>
      </c>
      <c r="P3" s="71" t="s">
        <v>630</v>
      </c>
      <c r="Q3" s="71" t="s">
        <v>630</v>
      </c>
      <c r="R3" s="71" t="s">
        <v>630</v>
      </c>
      <c r="S3" s="71" t="s">
        <v>630</v>
      </c>
      <c r="T3" s="71" t="s">
        <v>630</v>
      </c>
      <c r="U3" s="71" t="s">
        <v>630</v>
      </c>
      <c r="V3" s="71" t="s">
        <v>630</v>
      </c>
      <c r="W3" s="70" t="s">
        <v>630</v>
      </c>
    </row>
    <row r="4" spans="1:25" ht="31.15" thickBot="1">
      <c r="A4" s="198" t="s">
        <v>632</v>
      </c>
      <c r="B4" s="76"/>
      <c r="C4" s="76" t="s">
        <v>633</v>
      </c>
      <c r="D4" s="72" t="s">
        <v>636</v>
      </c>
      <c r="E4" s="73">
        <v>45199</v>
      </c>
      <c r="F4" s="72" t="s">
        <v>637</v>
      </c>
      <c r="G4" s="330" t="s">
        <v>1108</v>
      </c>
      <c r="H4" s="72">
        <v>45565</v>
      </c>
      <c r="I4" s="310" t="s">
        <v>1109</v>
      </c>
      <c r="J4" s="408">
        <v>45930</v>
      </c>
      <c r="K4" s="409" t="s">
        <v>1110</v>
      </c>
      <c r="L4" s="905">
        <v>45961</v>
      </c>
      <c r="M4" s="906">
        <v>45991</v>
      </c>
      <c r="N4" s="906">
        <v>46022</v>
      </c>
      <c r="O4" s="906">
        <v>46053</v>
      </c>
      <c r="P4" s="906">
        <v>46081</v>
      </c>
      <c r="Q4" s="905">
        <v>46112</v>
      </c>
      <c r="R4" s="906">
        <v>46142</v>
      </c>
      <c r="S4" s="906">
        <v>46173</v>
      </c>
      <c r="T4" s="906">
        <v>46203</v>
      </c>
      <c r="U4" s="906">
        <v>46234</v>
      </c>
      <c r="V4" s="905">
        <v>46265</v>
      </c>
      <c r="W4" s="906">
        <v>46295</v>
      </c>
    </row>
    <row r="5" spans="1:25" ht="15" thickBot="1">
      <c r="A5" s="240"/>
      <c r="B5" s="241"/>
      <c r="C5" s="242" t="s">
        <v>652</v>
      </c>
      <c r="D5" s="232"/>
      <c r="E5" s="233"/>
      <c r="F5" s="234"/>
      <c r="G5" s="234"/>
      <c r="H5" s="373"/>
      <c r="I5" s="373"/>
      <c r="J5" s="234"/>
      <c r="K5" s="234"/>
      <c r="L5" s="235"/>
      <c r="M5" s="236"/>
      <c r="N5" s="236"/>
      <c r="O5" s="236"/>
      <c r="P5" s="236"/>
      <c r="Q5" s="236"/>
      <c r="R5" s="236"/>
      <c r="S5" s="236"/>
      <c r="T5" s="236"/>
      <c r="U5" s="236"/>
      <c r="V5" s="236"/>
      <c r="W5" s="237"/>
      <c r="X5" s="20"/>
      <c r="Y5" s="20"/>
    </row>
    <row r="6" spans="1:25" outlineLevel="2">
      <c r="A6" s="907" t="s">
        <v>91</v>
      </c>
      <c r="B6" s="908" t="s">
        <v>92</v>
      </c>
      <c r="C6" s="909" t="s">
        <v>1151</v>
      </c>
      <c r="D6" s="910">
        <v>29222</v>
      </c>
      <c r="E6" s="910">
        <f>Fachschaften_Gesamt!E12</f>
        <v>0</v>
      </c>
      <c r="F6" s="910">
        <v>24000</v>
      </c>
      <c r="G6" s="910" t="e">
        <f>Haushalt!#REF!</f>
        <v>#REF!</v>
      </c>
      <c r="H6" s="910">
        <v>0</v>
      </c>
      <c r="I6" s="910">
        <v>4500</v>
      </c>
      <c r="J6" s="930">
        <v>0</v>
      </c>
      <c r="K6" s="910">
        <f>Fachschaften_Gesamt!K12</f>
        <v>0</v>
      </c>
      <c r="L6" s="912">
        <f>Fachschaften_Gesamt!L12</f>
        <v>0</v>
      </c>
      <c r="M6" s="912">
        <f>Fachschaften_Gesamt!M12</f>
        <v>0</v>
      </c>
      <c r="N6" s="912">
        <f>Fachschaften_Gesamt!N12</f>
        <v>0</v>
      </c>
      <c r="O6" s="912">
        <f>Fachschaften_Gesamt!O12</f>
        <v>0</v>
      </c>
      <c r="P6" s="912">
        <f>Fachschaften_Gesamt!P12</f>
        <v>0</v>
      </c>
      <c r="Q6" s="912">
        <f>Fachschaften_Gesamt!Q12</f>
        <v>0</v>
      </c>
      <c r="R6" s="912">
        <f>Fachschaften_Gesamt!R12</f>
        <v>0</v>
      </c>
      <c r="S6" s="912">
        <f>Fachschaften_Gesamt!S12</f>
        <v>0</v>
      </c>
      <c r="T6" s="912">
        <f>Fachschaften_Gesamt!T12</f>
        <v>0</v>
      </c>
      <c r="U6" s="912" t="e">
        <f>Fachschaften_Gesamt!U12</f>
        <v>#REF!</v>
      </c>
      <c r="V6" s="912" t="e">
        <f>Fachschaften_Gesamt!V12</f>
        <v>#REF!</v>
      </c>
      <c r="W6" s="912" t="e">
        <f>Fachschaften_Gesamt!W12</f>
        <v>#REF!</v>
      </c>
      <c r="X6" s="20"/>
      <c r="Y6" s="20"/>
    </row>
    <row r="7" spans="1:25" outlineLevel="2">
      <c r="A7" s="845" t="s">
        <v>103</v>
      </c>
      <c r="B7" s="490"/>
      <c r="C7" s="846" t="s">
        <v>1152</v>
      </c>
      <c r="D7" s="847">
        <v>0</v>
      </c>
      <c r="E7" s="847">
        <v>0</v>
      </c>
      <c r="F7" s="847">
        <v>0</v>
      </c>
      <c r="G7" s="847">
        <v>0</v>
      </c>
      <c r="H7" s="847"/>
      <c r="I7" s="847"/>
      <c r="J7" s="850"/>
      <c r="K7" s="847">
        <f>Fachschaften_Gesamt!K13</f>
        <v>0</v>
      </c>
      <c r="L7" s="853"/>
      <c r="M7" s="931"/>
      <c r="N7" s="931"/>
      <c r="O7" s="931"/>
      <c r="P7" s="931"/>
      <c r="Q7" s="931"/>
      <c r="R7" s="931"/>
      <c r="S7" s="931"/>
      <c r="T7" s="931"/>
      <c r="U7" s="931"/>
      <c r="V7" s="931"/>
      <c r="W7" s="931"/>
      <c r="X7" s="20"/>
      <c r="Y7" s="20"/>
    </row>
    <row r="8" spans="1:25" ht="15" outlineLevel="2" thickBot="1">
      <c r="A8" s="231" t="s">
        <v>110</v>
      </c>
      <c r="B8" s="227"/>
      <c r="C8" s="199" t="s">
        <v>1153</v>
      </c>
      <c r="D8" s="228">
        <v>0</v>
      </c>
      <c r="E8" s="228">
        <v>0</v>
      </c>
      <c r="F8" s="228">
        <v>0</v>
      </c>
      <c r="G8" s="228">
        <v>0</v>
      </c>
      <c r="H8" s="228"/>
      <c r="I8" s="228"/>
      <c r="J8" s="352"/>
      <c r="K8" s="228">
        <f>Fachschaften_Gesamt!K14</f>
        <v>0</v>
      </c>
      <c r="L8" s="229"/>
      <c r="M8" s="230"/>
      <c r="N8" s="230"/>
      <c r="O8" s="230"/>
      <c r="P8" s="230"/>
      <c r="Q8" s="230"/>
      <c r="R8" s="230"/>
      <c r="S8" s="230"/>
      <c r="T8" s="230"/>
      <c r="U8" s="230"/>
      <c r="V8" s="230"/>
      <c r="W8" s="230"/>
      <c r="X8" s="20"/>
      <c r="Y8" s="20"/>
    </row>
    <row r="9" spans="1:25" ht="15" thickBot="1">
      <c r="A9" s="200"/>
      <c r="B9" s="201"/>
      <c r="C9" s="202" t="s">
        <v>1126</v>
      </c>
      <c r="D9" s="224">
        <f t="shared" ref="D9:W9" si="0">SUM(D6:D8)</f>
        <v>29222</v>
      </c>
      <c r="E9" s="203">
        <f t="shared" si="0"/>
        <v>0</v>
      </c>
      <c r="F9" s="224">
        <f t="shared" si="0"/>
        <v>24000</v>
      </c>
      <c r="G9" s="224" t="e">
        <f t="shared" ref="G9:I9" si="1">SUM(G6:G8)</f>
        <v>#REF!</v>
      </c>
      <c r="H9" s="224">
        <f t="shared" si="1"/>
        <v>0</v>
      </c>
      <c r="I9" s="224">
        <f t="shared" si="1"/>
        <v>4500</v>
      </c>
      <c r="J9" s="403">
        <v>0</v>
      </c>
      <c r="K9" s="224">
        <f>SUM(K6:K8)</f>
        <v>0</v>
      </c>
      <c r="L9" s="204">
        <f t="shared" si="0"/>
        <v>0</v>
      </c>
      <c r="M9" s="205">
        <f t="shared" si="0"/>
        <v>0</v>
      </c>
      <c r="N9" s="205">
        <f t="shared" si="0"/>
        <v>0</v>
      </c>
      <c r="O9" s="205">
        <f t="shared" si="0"/>
        <v>0</v>
      </c>
      <c r="P9" s="205">
        <f t="shared" si="0"/>
        <v>0</v>
      </c>
      <c r="Q9" s="205">
        <f t="shared" si="0"/>
        <v>0</v>
      </c>
      <c r="R9" s="205">
        <f t="shared" si="0"/>
        <v>0</v>
      </c>
      <c r="S9" s="205">
        <f t="shared" si="0"/>
        <v>0</v>
      </c>
      <c r="T9" s="205">
        <f t="shared" si="0"/>
        <v>0</v>
      </c>
      <c r="U9" s="205" t="e">
        <f t="shared" ref="U9" si="2">SUM(U6:U8)</f>
        <v>#REF!</v>
      </c>
      <c r="V9" s="205" t="e">
        <f t="shared" si="0"/>
        <v>#REF!</v>
      </c>
      <c r="W9" s="205" t="e">
        <f t="shared" si="0"/>
        <v>#REF!</v>
      </c>
      <c r="X9" s="20"/>
      <c r="Y9" s="20"/>
    </row>
    <row r="10" spans="1:25" ht="15" thickBot="1">
      <c r="A10" s="22"/>
      <c r="B10" s="22"/>
      <c r="C10" s="22"/>
      <c r="D10" s="206"/>
      <c r="E10" s="207"/>
      <c r="F10" s="206"/>
      <c r="G10" s="206"/>
      <c r="H10" s="206"/>
      <c r="I10" s="206"/>
      <c r="J10" s="206"/>
      <c r="K10" s="412"/>
      <c r="L10" s="90"/>
      <c r="M10" s="90"/>
      <c r="N10" s="90"/>
      <c r="O10" s="90"/>
      <c r="P10" s="90"/>
      <c r="Q10" s="90"/>
      <c r="R10" s="90"/>
      <c r="S10" s="90"/>
      <c r="T10" s="90"/>
      <c r="U10" s="90"/>
      <c r="V10" s="90"/>
      <c r="W10" s="208"/>
      <c r="X10" s="20"/>
      <c r="Y10" s="20"/>
    </row>
    <row r="11" spans="1:25" ht="15" thickBot="1">
      <c r="A11" s="238" t="s">
        <v>989</v>
      </c>
      <c r="B11" s="239"/>
      <c r="C11" s="243" t="s">
        <v>1154</v>
      </c>
      <c r="D11" s="83"/>
      <c r="E11" s="101"/>
      <c r="F11" s="83"/>
      <c r="G11" s="83"/>
      <c r="H11" s="83"/>
      <c r="I11" s="83"/>
      <c r="J11" s="83"/>
      <c r="K11" s="413"/>
      <c r="L11" s="96"/>
      <c r="M11" s="96"/>
      <c r="N11" s="96"/>
      <c r="O11" s="96"/>
      <c r="P11" s="96"/>
      <c r="Q11" s="96"/>
      <c r="R11" s="96"/>
      <c r="S11" s="96"/>
      <c r="T11" s="96"/>
      <c r="U11" s="96"/>
      <c r="V11" s="90"/>
      <c r="W11" s="96"/>
      <c r="X11" s="20"/>
      <c r="Y11" s="20"/>
    </row>
    <row r="12" spans="1:25" outlineLevel="1">
      <c r="A12" s="932" t="s">
        <v>157</v>
      </c>
      <c r="B12" s="932" t="s">
        <v>1009</v>
      </c>
      <c r="C12" s="933" t="s">
        <v>1127</v>
      </c>
      <c r="D12" s="225">
        <f>800*12</f>
        <v>9600</v>
      </c>
      <c r="E12" s="268">
        <f>Fachschaften_Gesamt!E60</f>
        <v>9600</v>
      </c>
      <c r="F12" s="225">
        <f>800*12</f>
        <v>9600</v>
      </c>
      <c r="G12" s="225">
        <f>800*12</f>
        <v>9600</v>
      </c>
      <c r="H12" s="357">
        <v>9600</v>
      </c>
      <c r="I12" s="356">
        <v>9600</v>
      </c>
      <c r="J12" s="372">
        <v>9600</v>
      </c>
      <c r="K12" s="225">
        <f>Fachschaften_Gesamt!K60</f>
        <v>9600</v>
      </c>
      <c r="L12" s="298">
        <f>Fachschaften_Gesamt!L60</f>
        <v>0</v>
      </c>
      <c r="M12" s="298">
        <f>Fachschaften_Gesamt!M60</f>
        <v>0</v>
      </c>
      <c r="N12" s="298">
        <f>Fachschaften_Gesamt!N60</f>
        <v>0</v>
      </c>
      <c r="O12" s="298">
        <f>Fachschaften_Gesamt!O60</f>
        <v>0</v>
      </c>
      <c r="P12" s="298">
        <f>Fachschaften_Gesamt!P60</f>
        <v>0</v>
      </c>
      <c r="Q12" s="298">
        <f>Fachschaften_Gesamt!Q60</f>
        <v>0</v>
      </c>
      <c r="R12" s="298">
        <f>Fachschaften_Gesamt!R60</f>
        <v>0</v>
      </c>
      <c r="S12" s="298">
        <f>Fachschaften_Gesamt!S60</f>
        <v>0</v>
      </c>
      <c r="T12" s="298">
        <f>Fachschaften_Gesamt!T60</f>
        <v>0</v>
      </c>
      <c r="U12" s="298">
        <f>Fachschaften_Gesamt!U60</f>
        <v>0</v>
      </c>
      <c r="V12" s="298">
        <f>Fachschaften_Gesamt!V60</f>
        <v>0</v>
      </c>
      <c r="W12" s="298">
        <f>Fachschaften_Gesamt!W60</f>
        <v>0</v>
      </c>
      <c r="X12" s="20"/>
      <c r="Y12" s="20"/>
    </row>
    <row r="13" spans="1:25" outlineLevel="1">
      <c r="A13" s="934" t="s">
        <v>168</v>
      </c>
      <c r="B13" s="934" t="s">
        <v>1009</v>
      </c>
      <c r="C13" s="933" t="s">
        <v>1128</v>
      </c>
      <c r="D13" s="935">
        <f>Haushalt!G91</f>
        <v>4500</v>
      </c>
      <c r="E13" s="936">
        <f>Fachschaften_Gesamt!E61</f>
        <v>2435</v>
      </c>
      <c r="F13" s="935">
        <f>Haushalt!I91</f>
        <v>4400</v>
      </c>
      <c r="G13" s="935" t="e">
        <f>Haushalt!#REF!</f>
        <v>#REF!</v>
      </c>
      <c r="H13" s="937">
        <v>180</v>
      </c>
      <c r="I13" s="938">
        <v>2000</v>
      </c>
      <c r="J13" s="939">
        <v>0</v>
      </c>
      <c r="K13" s="935">
        <f>Fachschaften_Gesamt!K61</f>
        <v>2000</v>
      </c>
      <c r="L13" s="853">
        <f>Fachschaften_Gesamt!L61</f>
        <v>0</v>
      </c>
      <c r="M13" s="853">
        <f>Fachschaften_Gesamt!M61</f>
        <v>0</v>
      </c>
      <c r="N13" s="853">
        <f>Fachschaften_Gesamt!N61</f>
        <v>0</v>
      </c>
      <c r="O13" s="853">
        <v>0</v>
      </c>
      <c r="P13" s="853">
        <v>0</v>
      </c>
      <c r="Q13" s="853">
        <f>Fachschaften_Gesamt!Q61</f>
        <v>30</v>
      </c>
      <c r="R13" s="853">
        <f>Fachschaften_Gesamt!R61</f>
        <v>395</v>
      </c>
      <c r="S13" s="853">
        <f>Fachschaften_Gesamt!S61</f>
        <v>395</v>
      </c>
      <c r="T13" s="853">
        <f>Fachschaften_Gesamt!T61</f>
        <v>420</v>
      </c>
      <c r="U13" s="853"/>
      <c r="V13" s="853"/>
      <c r="W13" s="853"/>
      <c r="X13" s="20"/>
      <c r="Y13" s="20"/>
    </row>
    <row r="14" spans="1:25" outlineLevel="1">
      <c r="A14" s="934" t="s">
        <v>279</v>
      </c>
      <c r="B14" s="934" t="s">
        <v>280</v>
      </c>
      <c r="C14" s="940" t="s">
        <v>1129</v>
      </c>
      <c r="D14" s="935">
        <f>Haushalt!G139</f>
        <v>2600</v>
      </c>
      <c r="E14" s="936">
        <f>Fachschaften_Gesamt!E62</f>
        <v>1081.3800000000001</v>
      </c>
      <c r="F14" s="935">
        <f>Haushalt!I139</f>
        <v>6000</v>
      </c>
      <c r="G14" s="935" t="e">
        <f>Haushalt!#REF!</f>
        <v>#REF!</v>
      </c>
      <c r="H14" s="937">
        <v>705.42</v>
      </c>
      <c r="I14" s="938">
        <v>2000</v>
      </c>
      <c r="J14" s="939">
        <v>0</v>
      </c>
      <c r="K14" s="935">
        <f>Fachschaften_Gesamt!K62</f>
        <v>2000</v>
      </c>
      <c r="L14" s="853">
        <f>Fachschaften_Gesamt!L62</f>
        <v>0</v>
      </c>
      <c r="M14" s="853">
        <f>Fachschaften_Gesamt!M62</f>
        <v>0</v>
      </c>
      <c r="N14" s="853">
        <f>Fachschaften_Gesamt!N62</f>
        <v>0</v>
      </c>
      <c r="O14" s="853">
        <f>Fachschaften_Gesamt!O62</f>
        <v>0</v>
      </c>
      <c r="P14" s="853">
        <f>Fachschaften_Gesamt!P62</f>
        <v>0</v>
      </c>
      <c r="Q14" s="853">
        <f>Fachschaften_Gesamt!Q62</f>
        <v>157.44</v>
      </c>
      <c r="R14" s="853">
        <f>Fachschaften_Gesamt!R62</f>
        <v>911.84</v>
      </c>
      <c r="S14" s="853">
        <f>Fachschaften_Gesamt!S62</f>
        <v>911.84</v>
      </c>
      <c r="T14" s="853">
        <f>Fachschaften_Gesamt!T62</f>
        <v>960.21</v>
      </c>
      <c r="U14" s="853" t="e">
        <f>Fachschaften_Gesamt!U62</f>
        <v>#REF!</v>
      </c>
      <c r="V14" s="853" t="e">
        <f>Fachschaften_Gesamt!V62</f>
        <v>#REF!</v>
      </c>
      <c r="W14" s="853" t="e">
        <f>Fachschaften_Gesamt!W62</f>
        <v>#REF!</v>
      </c>
      <c r="X14" s="20"/>
      <c r="Y14" s="20"/>
    </row>
    <row r="15" spans="1:25" outlineLevel="1">
      <c r="A15" s="934" t="s">
        <v>305</v>
      </c>
      <c r="B15" s="934" t="s">
        <v>306</v>
      </c>
      <c r="C15" s="933" t="s">
        <v>1130</v>
      </c>
      <c r="D15" s="935">
        <f>Haushalt!G151</f>
        <v>1600</v>
      </c>
      <c r="E15" s="936">
        <f>Fachschaften_Gesamt!E63</f>
        <v>266.97000000000003</v>
      </c>
      <c r="F15" s="935">
        <f>Haushalt!I151</f>
        <v>1400</v>
      </c>
      <c r="G15" s="935" t="e">
        <f>Haushalt!#REF!</f>
        <v>#REF!</v>
      </c>
      <c r="H15" s="937">
        <v>94</v>
      </c>
      <c r="I15" s="938">
        <v>1500</v>
      </c>
      <c r="J15" s="939">
        <v>2023.15</v>
      </c>
      <c r="K15" s="935">
        <f>Fachschaften_Gesamt!K63</f>
        <v>1500</v>
      </c>
      <c r="L15" s="853">
        <f>Fachschaften_Gesamt!L63</f>
        <v>134.32</v>
      </c>
      <c r="M15" s="853">
        <f>Fachschaften_Gesamt!M63</f>
        <v>268.64</v>
      </c>
      <c r="N15" s="853">
        <f>Fachschaften_Gesamt!N63</f>
        <v>402.96</v>
      </c>
      <c r="O15" s="853">
        <f>Fachschaften_Gesamt!O63</f>
        <v>537.28</v>
      </c>
      <c r="P15" s="853">
        <f>Fachschaften_Gesamt!P63</f>
        <v>671.6</v>
      </c>
      <c r="Q15" s="853">
        <f>Fachschaften_Gesamt!Q63</f>
        <v>805.92</v>
      </c>
      <c r="R15" s="853">
        <f>Fachschaften_Gesamt!R63</f>
        <v>1068.24</v>
      </c>
      <c r="S15" s="853">
        <f>Fachschaften_Gesamt!S63</f>
        <v>1202.56</v>
      </c>
      <c r="T15" s="853">
        <f>Fachschaften_Gesamt!T63</f>
        <v>1336.88</v>
      </c>
      <c r="U15" s="853" t="e">
        <f>Fachschaften_Gesamt!U63</f>
        <v>#REF!</v>
      </c>
      <c r="V15" s="853" t="e">
        <f>Fachschaften_Gesamt!V63</f>
        <v>#REF!</v>
      </c>
      <c r="W15" s="853" t="e">
        <f>Fachschaften_Gesamt!W63</f>
        <v>#REF!</v>
      </c>
      <c r="X15" s="20"/>
      <c r="Y15" s="20"/>
    </row>
    <row r="16" spans="1:25" outlineLevel="1">
      <c r="A16" s="934" t="s">
        <v>329</v>
      </c>
      <c r="B16" s="934" t="s">
        <v>330</v>
      </c>
      <c r="C16" s="941" t="s">
        <v>1131</v>
      </c>
      <c r="D16" s="935">
        <f>Haushalt!G163</f>
        <v>400</v>
      </c>
      <c r="E16" s="936">
        <f>Fachschaften_Gesamt!E64</f>
        <v>200</v>
      </c>
      <c r="F16" s="935">
        <f>Haushalt!I163</f>
        <v>500</v>
      </c>
      <c r="G16" s="935" t="e">
        <f>Haushalt!#REF!</f>
        <v>#REF!</v>
      </c>
      <c r="H16" s="937">
        <v>0</v>
      </c>
      <c r="I16" s="938">
        <v>500</v>
      </c>
      <c r="J16" s="939">
        <v>0</v>
      </c>
      <c r="K16" s="935">
        <f>Fachschaften_Gesamt!K64</f>
        <v>500</v>
      </c>
      <c r="L16" s="853">
        <f>Fachschaften_Gesamt!L64</f>
        <v>0</v>
      </c>
      <c r="M16" s="853">
        <f>Fachschaften_Gesamt!M64</f>
        <v>0</v>
      </c>
      <c r="N16" s="853">
        <f>Fachschaften_Gesamt!N64</f>
        <v>0</v>
      </c>
      <c r="O16" s="853">
        <f>Fachschaften_Gesamt!O64</f>
        <v>0</v>
      </c>
      <c r="P16" s="853">
        <f>Fachschaften_Gesamt!P64</f>
        <v>0</v>
      </c>
      <c r="Q16" s="853">
        <f>Fachschaften_Gesamt!Q64</f>
        <v>0</v>
      </c>
      <c r="R16" s="853">
        <f>Fachschaften_Gesamt!R64</f>
        <v>0</v>
      </c>
      <c r="S16" s="853">
        <f>Fachschaften_Gesamt!S64</f>
        <v>0</v>
      </c>
      <c r="T16" s="853">
        <f>Fachschaften_Gesamt!T64</f>
        <v>0</v>
      </c>
      <c r="U16" s="853" t="e">
        <f>Fachschaften_Gesamt!U64</f>
        <v>#REF!</v>
      </c>
      <c r="V16" s="853" t="e">
        <f>Fachschaften_Gesamt!V64</f>
        <v>#REF!</v>
      </c>
      <c r="W16" s="853" t="e">
        <f>Fachschaften_Gesamt!W64</f>
        <v>#REF!</v>
      </c>
      <c r="X16" s="20"/>
      <c r="Y16" s="20"/>
    </row>
    <row r="17" spans="1:25" outlineLevel="1">
      <c r="A17" s="934" t="s">
        <v>373</v>
      </c>
      <c r="B17" s="934" t="s">
        <v>1013</v>
      </c>
      <c r="C17" s="942" t="s">
        <v>1132</v>
      </c>
      <c r="D17" s="935">
        <f>Haushalt!G187</f>
        <v>24540</v>
      </c>
      <c r="E17" s="936">
        <f>Fachschaften_Gesamt!E65</f>
        <v>105</v>
      </c>
      <c r="F17" s="935">
        <f>Haushalt!I187</f>
        <v>23000</v>
      </c>
      <c r="G17" s="935" t="e">
        <f>Haushalt!#REF!</f>
        <v>#REF!</v>
      </c>
      <c r="H17" s="937">
        <v>0</v>
      </c>
      <c r="I17" s="938">
        <v>5000</v>
      </c>
      <c r="J17" s="939">
        <v>0</v>
      </c>
      <c r="K17" s="935">
        <f>Fachschaften_Gesamt!K65</f>
        <v>5000</v>
      </c>
      <c r="L17" s="853">
        <f>Fachschaften_Gesamt!L65</f>
        <v>0</v>
      </c>
      <c r="M17" s="853">
        <f>Fachschaften_Gesamt!M65</f>
        <v>0</v>
      </c>
      <c r="N17" s="853">
        <f>Fachschaften_Gesamt!N65</f>
        <v>0</v>
      </c>
      <c r="O17" s="853">
        <f>Fachschaften_Gesamt!O65</f>
        <v>0</v>
      </c>
      <c r="P17" s="853">
        <f>Fachschaften_Gesamt!P65</f>
        <v>0</v>
      </c>
      <c r="Q17" s="853">
        <f>Fachschaften_Gesamt!Q65</f>
        <v>0</v>
      </c>
      <c r="R17" s="853">
        <f>Fachschaften_Gesamt!R65</f>
        <v>0</v>
      </c>
      <c r="S17" s="853">
        <f>Fachschaften_Gesamt!S65</f>
        <v>0</v>
      </c>
      <c r="T17" s="853">
        <f>Fachschaften_Gesamt!T65</f>
        <v>0</v>
      </c>
      <c r="U17" s="853" t="e">
        <f>Fachschaften_Gesamt!U65</f>
        <v>#REF!</v>
      </c>
      <c r="V17" s="853" t="e">
        <f>Fachschaften_Gesamt!V65</f>
        <v>#REF!</v>
      </c>
      <c r="W17" s="853" t="e">
        <f>Fachschaften_Gesamt!W65</f>
        <v>#REF!</v>
      </c>
      <c r="X17" s="20"/>
      <c r="Y17" s="20"/>
    </row>
    <row r="18" spans="1:25" outlineLevel="1">
      <c r="A18" s="934" t="s">
        <v>386</v>
      </c>
      <c r="B18" s="934" t="s">
        <v>1013</v>
      </c>
      <c r="C18" s="933" t="s">
        <v>354</v>
      </c>
      <c r="D18" s="935">
        <f>Haushalt!G193</f>
        <v>2000</v>
      </c>
      <c r="E18" s="936"/>
      <c r="F18" s="935">
        <f>Haushalt!I193</f>
        <v>2000</v>
      </c>
      <c r="G18" s="935" t="e">
        <f>Haushalt!#REF!</f>
        <v>#REF!</v>
      </c>
      <c r="H18" s="937">
        <v>0</v>
      </c>
      <c r="I18" s="938">
        <v>1000</v>
      </c>
      <c r="J18" s="939">
        <v>0</v>
      </c>
      <c r="K18" s="935">
        <f>Fachschaften_Gesamt!K66</f>
        <v>1000</v>
      </c>
      <c r="L18" s="853">
        <f>Fachschaften_Gesamt!L66</f>
        <v>0</v>
      </c>
      <c r="M18" s="853">
        <f>Fachschaften_Gesamt!M66</f>
        <v>0</v>
      </c>
      <c r="N18" s="853">
        <f>Fachschaften_Gesamt!N66</f>
        <v>0</v>
      </c>
      <c r="O18" s="853">
        <f>Fachschaften_Gesamt!O66</f>
        <v>0</v>
      </c>
      <c r="P18" s="853">
        <f>Fachschaften_Gesamt!P66</f>
        <v>0</v>
      </c>
      <c r="Q18" s="853">
        <f>Fachschaften_Gesamt!Q66</f>
        <v>0</v>
      </c>
      <c r="R18" s="853">
        <f>Fachschaften_Gesamt!R66</f>
        <v>0</v>
      </c>
      <c r="S18" s="853">
        <f>Fachschaften_Gesamt!S66</f>
        <v>0</v>
      </c>
      <c r="T18" s="853">
        <f>Fachschaften_Gesamt!T66</f>
        <v>0</v>
      </c>
      <c r="U18" s="853" t="e">
        <f>Fachschaften_Gesamt!U66</f>
        <v>#REF!</v>
      </c>
      <c r="V18" s="853" t="e">
        <f>Fachschaften_Gesamt!V66</f>
        <v>#REF!</v>
      </c>
      <c r="W18" s="853" t="e">
        <f>Fachschaften_Gesamt!W66</f>
        <v>#REF!</v>
      </c>
      <c r="X18" s="20"/>
      <c r="Y18" s="20"/>
    </row>
    <row r="19" spans="1:25" outlineLevel="1">
      <c r="A19" s="934" t="s">
        <v>395</v>
      </c>
      <c r="B19" s="934" t="s">
        <v>1013</v>
      </c>
      <c r="C19" s="933" t="s">
        <v>1133</v>
      </c>
      <c r="D19" s="935">
        <f>Haushalt!G199</f>
        <v>100</v>
      </c>
      <c r="E19" s="936"/>
      <c r="F19" s="935">
        <f>Haushalt!I199</f>
        <v>500</v>
      </c>
      <c r="G19" s="935" t="e">
        <f>Haushalt!#REF!</f>
        <v>#REF!</v>
      </c>
      <c r="H19" s="937">
        <v>0</v>
      </c>
      <c r="I19" s="938">
        <v>500</v>
      </c>
      <c r="J19" s="939">
        <v>0</v>
      </c>
      <c r="K19" s="935">
        <f>Fachschaften_Gesamt!K67</f>
        <v>500</v>
      </c>
      <c r="L19" s="853">
        <f>Fachschaften_Gesamt!L67</f>
        <v>0</v>
      </c>
      <c r="M19" s="853">
        <f>Fachschaften_Gesamt!M67</f>
        <v>0</v>
      </c>
      <c r="N19" s="853">
        <f>Fachschaften_Gesamt!N67</f>
        <v>0</v>
      </c>
      <c r="O19" s="853">
        <f>Fachschaften_Gesamt!O67</f>
        <v>0</v>
      </c>
      <c r="P19" s="853">
        <f>Fachschaften_Gesamt!P67</f>
        <v>0</v>
      </c>
      <c r="Q19" s="853">
        <f>Fachschaften_Gesamt!Q67</f>
        <v>0</v>
      </c>
      <c r="R19" s="853">
        <f>Fachschaften_Gesamt!R67</f>
        <v>0</v>
      </c>
      <c r="S19" s="853">
        <f>Fachschaften_Gesamt!S67</f>
        <v>0</v>
      </c>
      <c r="T19" s="853">
        <f>Fachschaften_Gesamt!T67</f>
        <v>0</v>
      </c>
      <c r="U19" s="853" t="e">
        <f>Fachschaften_Gesamt!U67</f>
        <v>#REF!</v>
      </c>
      <c r="V19" s="853" t="e">
        <f>Fachschaften_Gesamt!V67</f>
        <v>#REF!</v>
      </c>
      <c r="W19" s="853" t="e">
        <f>Fachschaften_Gesamt!W67</f>
        <v>#REF!</v>
      </c>
      <c r="X19" s="20"/>
      <c r="Y19" s="20"/>
    </row>
    <row r="20" spans="1:25" outlineLevel="1">
      <c r="A20" s="943" t="s">
        <v>404</v>
      </c>
      <c r="B20" s="943" t="s">
        <v>405</v>
      </c>
      <c r="C20" s="944" t="s">
        <v>399</v>
      </c>
      <c r="D20" s="935">
        <f>Haushalt!G205</f>
        <v>500</v>
      </c>
      <c r="E20" s="936">
        <f>Fachschaften_Gesamt!E68</f>
        <v>0</v>
      </c>
      <c r="F20" s="935">
        <f>Haushalt!I205</f>
        <v>200</v>
      </c>
      <c r="G20" s="935" t="e">
        <f>Haushalt!#REF!</f>
        <v>#REF!</v>
      </c>
      <c r="H20" s="937">
        <v>0</v>
      </c>
      <c r="I20" s="938">
        <v>300</v>
      </c>
      <c r="J20" s="939">
        <v>0</v>
      </c>
      <c r="K20" s="935">
        <f>Fachschaften_Gesamt!K68</f>
        <v>300</v>
      </c>
      <c r="L20" s="853">
        <f>Fachschaften_Gesamt!L68</f>
        <v>0</v>
      </c>
      <c r="M20" s="853">
        <f>Fachschaften_Gesamt!M68</f>
        <v>0</v>
      </c>
      <c r="N20" s="853">
        <f>Fachschaften_Gesamt!N68</f>
        <v>0</v>
      </c>
      <c r="O20" s="853">
        <f>Fachschaften_Gesamt!O68</f>
        <v>0</v>
      </c>
      <c r="P20" s="853">
        <f>Fachschaften_Gesamt!P68</f>
        <v>0</v>
      </c>
      <c r="Q20" s="853">
        <f>Fachschaften_Gesamt!Q68</f>
        <v>0</v>
      </c>
      <c r="R20" s="853">
        <f>Fachschaften_Gesamt!R68</f>
        <v>0</v>
      </c>
      <c r="S20" s="853">
        <f>Fachschaften_Gesamt!S68</f>
        <v>0</v>
      </c>
      <c r="T20" s="853">
        <f>Fachschaften_Gesamt!T68</f>
        <v>0</v>
      </c>
      <c r="U20" s="853" t="e">
        <f>Fachschaften_Gesamt!U68</f>
        <v>#REF!</v>
      </c>
      <c r="V20" s="853" t="e">
        <f>Fachschaften_Gesamt!V68</f>
        <v>#REF!</v>
      </c>
      <c r="W20" s="853" t="e">
        <f>Fachschaften_Gesamt!W68</f>
        <v>#REF!</v>
      </c>
      <c r="X20" s="20"/>
      <c r="Y20" s="20"/>
    </row>
    <row r="21" spans="1:25" outlineLevel="1">
      <c r="A21" s="945" t="s">
        <v>416</v>
      </c>
      <c r="B21" s="945" t="s">
        <v>417</v>
      </c>
      <c r="C21" s="944" t="s">
        <v>1134</v>
      </c>
      <c r="D21" s="935">
        <f>Haushalt!G211</f>
        <v>600</v>
      </c>
      <c r="E21" s="936">
        <f>Fachschaften_Gesamt!E69</f>
        <v>0</v>
      </c>
      <c r="F21" s="935">
        <f>Haushalt!I211</f>
        <v>500</v>
      </c>
      <c r="G21" s="935" t="e">
        <f>Haushalt!#REF!</f>
        <v>#REF!</v>
      </c>
      <c r="H21" s="937">
        <v>0</v>
      </c>
      <c r="I21" s="938">
        <v>500</v>
      </c>
      <c r="J21" s="939">
        <v>0</v>
      </c>
      <c r="K21" s="935">
        <f>Fachschaften_Gesamt!K69</f>
        <v>500</v>
      </c>
      <c r="L21" s="853">
        <f>Fachschaften_Gesamt!L69</f>
        <v>0</v>
      </c>
      <c r="M21" s="853">
        <f>Fachschaften_Gesamt!M69</f>
        <v>0</v>
      </c>
      <c r="N21" s="853">
        <f>Fachschaften_Gesamt!N69</f>
        <v>0</v>
      </c>
      <c r="O21" s="853">
        <f>Fachschaften_Gesamt!O69</f>
        <v>0</v>
      </c>
      <c r="P21" s="853">
        <f>Fachschaften_Gesamt!P69</f>
        <v>0</v>
      </c>
      <c r="Q21" s="853">
        <f>Fachschaften_Gesamt!Q69</f>
        <v>0</v>
      </c>
      <c r="R21" s="853">
        <f>Fachschaften_Gesamt!R69</f>
        <v>0</v>
      </c>
      <c r="S21" s="853">
        <f>Fachschaften_Gesamt!S69</f>
        <v>0</v>
      </c>
      <c r="T21" s="853">
        <f>Fachschaften_Gesamt!T69</f>
        <v>0</v>
      </c>
      <c r="U21" s="853" t="e">
        <f>Fachschaften_Gesamt!U69</f>
        <v>#REF!</v>
      </c>
      <c r="V21" s="853" t="e">
        <f>Fachschaften_Gesamt!V69</f>
        <v>#REF!</v>
      </c>
      <c r="W21" s="853" t="e">
        <f>Fachschaften_Gesamt!W69</f>
        <v>#REF!</v>
      </c>
      <c r="X21" s="20"/>
      <c r="Y21" s="20"/>
    </row>
    <row r="22" spans="1:25" outlineLevel="1">
      <c r="A22" s="945" t="s">
        <v>428</v>
      </c>
      <c r="B22" s="945" t="s">
        <v>1020</v>
      </c>
      <c r="C22" s="944" t="s">
        <v>1135</v>
      </c>
      <c r="D22" s="935">
        <f>Haushalt!G217</f>
        <v>2620</v>
      </c>
      <c r="E22" s="936">
        <f>Fachschaften_Gesamt!E70</f>
        <v>30</v>
      </c>
      <c r="F22" s="935">
        <f>Haushalt!I217</f>
        <v>0</v>
      </c>
      <c r="G22" s="935" t="e">
        <f>Haushalt!#REF!</f>
        <v>#REF!</v>
      </c>
      <c r="H22" s="937">
        <v>0</v>
      </c>
      <c r="I22" s="938">
        <v>500</v>
      </c>
      <c r="J22" s="939">
        <v>0</v>
      </c>
      <c r="K22" s="935">
        <f>Fachschaften_Gesamt!K70</f>
        <v>500</v>
      </c>
      <c r="L22" s="853">
        <f>Fachschaften_Gesamt!L70</f>
        <v>0</v>
      </c>
      <c r="M22" s="853">
        <f>Fachschaften_Gesamt!M70</f>
        <v>0</v>
      </c>
      <c r="N22" s="853">
        <f>Fachschaften_Gesamt!N70</f>
        <v>0</v>
      </c>
      <c r="O22" s="853">
        <f>Fachschaften_Gesamt!O70</f>
        <v>0</v>
      </c>
      <c r="P22" s="853">
        <f>Fachschaften_Gesamt!P70</f>
        <v>0</v>
      </c>
      <c r="Q22" s="853">
        <f>Fachschaften_Gesamt!Q70</f>
        <v>0</v>
      </c>
      <c r="R22" s="853">
        <f>Fachschaften_Gesamt!R70</f>
        <v>0</v>
      </c>
      <c r="S22" s="853">
        <f>Fachschaften_Gesamt!S70</f>
        <v>0</v>
      </c>
      <c r="T22" s="853">
        <f>Fachschaften_Gesamt!T70</f>
        <v>0</v>
      </c>
      <c r="U22" s="853" t="e">
        <f>Fachschaften_Gesamt!U70</f>
        <v>#REF!</v>
      </c>
      <c r="V22" s="853" t="e">
        <f>Fachschaften_Gesamt!V70</f>
        <v>#REF!</v>
      </c>
      <c r="W22" s="853" t="e">
        <f>Fachschaften_Gesamt!W70</f>
        <v>#REF!</v>
      </c>
      <c r="X22" s="20"/>
      <c r="Y22" s="20"/>
    </row>
    <row r="23" spans="1:25" outlineLevel="1">
      <c r="A23" s="945" t="s">
        <v>440</v>
      </c>
      <c r="B23" s="945" t="s">
        <v>1020</v>
      </c>
      <c r="C23" s="946" t="s">
        <v>1136</v>
      </c>
      <c r="D23" s="935">
        <f>Haushalt!G223</f>
        <v>1000</v>
      </c>
      <c r="E23" s="936"/>
      <c r="F23" s="935">
        <f>Haushalt!I223</f>
        <v>1000</v>
      </c>
      <c r="G23" s="935" t="e">
        <f>Haushalt!#REF!</f>
        <v>#REF!</v>
      </c>
      <c r="H23" s="937">
        <v>0</v>
      </c>
      <c r="I23" s="938">
        <v>500</v>
      </c>
      <c r="J23" s="939">
        <v>0</v>
      </c>
      <c r="K23" s="935">
        <f>Fachschaften_Gesamt!K71</f>
        <v>500</v>
      </c>
      <c r="L23" s="853">
        <f>Fachschaften_Gesamt!L71</f>
        <v>0</v>
      </c>
      <c r="M23" s="853">
        <f>Fachschaften_Gesamt!M71</f>
        <v>0</v>
      </c>
      <c r="N23" s="853">
        <f>Fachschaften_Gesamt!N71</f>
        <v>0</v>
      </c>
      <c r="O23" s="853">
        <f>Fachschaften_Gesamt!O71</f>
        <v>0</v>
      </c>
      <c r="P23" s="853">
        <f>Fachschaften_Gesamt!P71</f>
        <v>0</v>
      </c>
      <c r="Q23" s="853">
        <f>Fachschaften_Gesamt!Q71</f>
        <v>0</v>
      </c>
      <c r="R23" s="853">
        <f>Fachschaften_Gesamt!R71</f>
        <v>0</v>
      </c>
      <c r="S23" s="853">
        <f>Fachschaften_Gesamt!S71</f>
        <v>0</v>
      </c>
      <c r="T23" s="853">
        <f>Fachschaften_Gesamt!T71</f>
        <v>35</v>
      </c>
      <c r="U23" s="853" t="e">
        <f>Fachschaften_Gesamt!U71</f>
        <v>#REF!</v>
      </c>
      <c r="V23" s="853" t="e">
        <f>Fachschaften_Gesamt!V71</f>
        <v>#REF!</v>
      </c>
      <c r="W23" s="853" t="e">
        <f>Fachschaften_Gesamt!W71</f>
        <v>#REF!</v>
      </c>
      <c r="X23" s="20"/>
      <c r="Y23" s="20"/>
    </row>
    <row r="24" spans="1:25" ht="15" outlineLevel="1" thickBot="1">
      <c r="A24" s="945" t="s">
        <v>464</v>
      </c>
      <c r="B24" s="945" t="s">
        <v>1023</v>
      </c>
      <c r="C24" s="947" t="s">
        <v>1137</v>
      </c>
      <c r="D24" s="226">
        <f>Haushalt!G235/5</f>
        <v>584</v>
      </c>
      <c r="E24" s="948">
        <f>Fachschaften_Gesamt!E72</f>
        <v>0</v>
      </c>
      <c r="F24" s="226">
        <f>Haushalt!I235/5</f>
        <v>490</v>
      </c>
      <c r="G24" s="226" t="e">
        <f>Haushalt!#REF!/5</f>
        <v>#REF!</v>
      </c>
      <c r="H24" s="949">
        <v>0</v>
      </c>
      <c r="I24" s="950">
        <v>200</v>
      </c>
      <c r="J24" s="951">
        <v>0</v>
      </c>
      <c r="K24" s="935">
        <f>Fachschaften_Gesamt!K72</f>
        <v>0</v>
      </c>
      <c r="L24" s="853">
        <f>Fachschaften_Gesamt!L72</f>
        <v>0</v>
      </c>
      <c r="M24" s="853">
        <f>Fachschaften_Gesamt!M72</f>
        <v>0</v>
      </c>
      <c r="N24" s="853">
        <f>Fachschaften_Gesamt!N72</f>
        <v>0</v>
      </c>
      <c r="O24" s="853">
        <f>Fachschaften_Gesamt!O72</f>
        <v>0</v>
      </c>
      <c r="P24" s="853">
        <f>Fachschaften_Gesamt!P72</f>
        <v>0</v>
      </c>
      <c r="Q24" s="853">
        <f>Fachschaften_Gesamt!Q72</f>
        <v>0</v>
      </c>
      <c r="R24" s="853">
        <f>Fachschaften_Gesamt!R72</f>
        <v>0</v>
      </c>
      <c r="S24" s="853">
        <f>Fachschaften_Gesamt!S72</f>
        <v>0</v>
      </c>
      <c r="T24" s="853">
        <f>Fachschaften_Gesamt!T72</f>
        <v>0</v>
      </c>
      <c r="U24" s="853" t="e">
        <f>Fachschaften_Gesamt!U72</f>
        <v>#REF!</v>
      </c>
      <c r="V24" s="853" t="e">
        <f>Fachschaften_Gesamt!V72</f>
        <v>#REF!</v>
      </c>
      <c r="W24" s="853" t="e">
        <f>Fachschaften_Gesamt!W72</f>
        <v>#REF!</v>
      </c>
      <c r="X24" s="20"/>
      <c r="Y24" s="20"/>
    </row>
    <row r="25" spans="1:25">
      <c r="A25" s="209"/>
      <c r="B25" s="210"/>
      <c r="C25" s="211" t="s">
        <v>1079</v>
      </c>
      <c r="D25" s="212">
        <f t="shared" ref="D25:T25" si="3">SUM(D12:D24)</f>
        <v>50644</v>
      </c>
      <c r="E25" s="269">
        <f t="shared" si="3"/>
        <v>13718.35</v>
      </c>
      <c r="F25" s="212">
        <f t="shared" si="3"/>
        <v>49590</v>
      </c>
      <c r="G25" s="212" t="e">
        <f t="shared" ref="G25:H25" si="4">SUM(G12:G24)</f>
        <v>#REF!</v>
      </c>
      <c r="H25" s="212">
        <f t="shared" si="4"/>
        <v>10579.42</v>
      </c>
      <c r="I25" s="212">
        <f t="shared" ref="I25" si="5">SUM(I12:I24)</f>
        <v>24100</v>
      </c>
      <c r="J25" s="212">
        <v>11623.15</v>
      </c>
      <c r="K25" s="212">
        <f>SUM(K12:K24)</f>
        <v>23900</v>
      </c>
      <c r="L25" s="370">
        <f t="shared" si="3"/>
        <v>134.32</v>
      </c>
      <c r="M25" s="213">
        <f t="shared" si="3"/>
        <v>268.64</v>
      </c>
      <c r="N25" s="213">
        <f t="shared" si="3"/>
        <v>402.96</v>
      </c>
      <c r="O25" s="213">
        <f t="shared" si="3"/>
        <v>537.28</v>
      </c>
      <c r="P25" s="213">
        <f t="shared" si="3"/>
        <v>671.6</v>
      </c>
      <c r="Q25" s="213">
        <f t="shared" si="3"/>
        <v>993.3599999999999</v>
      </c>
      <c r="R25" s="213">
        <f t="shared" si="3"/>
        <v>2375.08</v>
      </c>
      <c r="S25" s="213">
        <f t="shared" si="3"/>
        <v>2509.4</v>
      </c>
      <c r="T25" s="213">
        <f t="shared" si="3"/>
        <v>2752.09</v>
      </c>
      <c r="U25" s="213" t="e">
        <f t="shared" ref="U25:V25" si="6">SUM(U12:U24)</f>
        <v>#REF!</v>
      </c>
      <c r="V25" s="213" t="e">
        <f t="shared" si="6"/>
        <v>#REF!</v>
      </c>
      <c r="W25" s="213" t="e">
        <f t="shared" ref="W25" si="7">SUM(W12:W24)</f>
        <v>#REF!</v>
      </c>
      <c r="X25" s="20"/>
      <c r="Y25" s="20"/>
    </row>
    <row r="26" spans="1:25" ht="15" thickBot="1">
      <c r="A26" s="214"/>
      <c r="B26" s="215"/>
      <c r="C26" s="216" t="s">
        <v>1140</v>
      </c>
      <c r="D26" s="217">
        <f>SUM(D6+D7+D8)-D25</f>
        <v>-21422</v>
      </c>
      <c r="E26" s="217">
        <f>E6-E25</f>
        <v>-13718.35</v>
      </c>
      <c r="F26" s="217">
        <f>SUM(F6+F7+F8)-F25</f>
        <v>-25590</v>
      </c>
      <c r="G26" s="217" t="e">
        <f>SUM(G6+G7+G8)-G25</f>
        <v>#REF!</v>
      </c>
      <c r="H26" s="217">
        <f>SUM(H6+H7+H8)-H25</f>
        <v>-10579.42</v>
      </c>
      <c r="I26" s="217">
        <f>SUM(I6+I7+I8)-I25</f>
        <v>-19600</v>
      </c>
      <c r="J26" s="217">
        <v>-11623.15</v>
      </c>
      <c r="K26" s="217">
        <f>K9-K25</f>
        <v>-23900</v>
      </c>
      <c r="L26" s="371">
        <f t="shared" ref="L26:T26" si="8">L6-L25</f>
        <v>-134.32</v>
      </c>
      <c r="M26" s="218">
        <f t="shared" si="8"/>
        <v>-268.64</v>
      </c>
      <c r="N26" s="218">
        <f t="shared" si="8"/>
        <v>-402.96</v>
      </c>
      <c r="O26" s="218">
        <f t="shared" si="8"/>
        <v>-537.28</v>
      </c>
      <c r="P26" s="218">
        <f t="shared" si="8"/>
        <v>-671.6</v>
      </c>
      <c r="Q26" s="218">
        <f t="shared" si="8"/>
        <v>-993.3599999999999</v>
      </c>
      <c r="R26" s="218">
        <f t="shared" si="8"/>
        <v>-2375.08</v>
      </c>
      <c r="S26" s="218">
        <f t="shared" si="8"/>
        <v>-2509.4</v>
      </c>
      <c r="T26" s="218">
        <f t="shared" si="8"/>
        <v>-2752.09</v>
      </c>
      <c r="U26" s="218" t="e">
        <f t="shared" ref="U26:V26" si="9">U6-U25</f>
        <v>#REF!</v>
      </c>
      <c r="V26" s="218" t="e">
        <f t="shared" si="9"/>
        <v>#REF!</v>
      </c>
      <c r="W26" s="218" t="e">
        <f t="shared" ref="W26" si="10">W6-W25</f>
        <v>#REF!</v>
      </c>
      <c r="X26" s="20"/>
      <c r="Y26" s="20"/>
    </row>
    <row r="27" spans="1:25">
      <c r="A27" s="219"/>
      <c r="B27" s="219"/>
      <c r="C27" s="219"/>
      <c r="D27" s="83"/>
      <c r="E27" s="83"/>
      <c r="F27" s="83"/>
      <c r="G27" s="83"/>
      <c r="H27" s="83"/>
      <c r="I27" s="83"/>
      <c r="J27" s="83"/>
      <c r="K27" s="83"/>
      <c r="L27" s="96"/>
      <c r="M27" s="96"/>
      <c r="N27" s="96"/>
      <c r="O27" s="96"/>
      <c r="P27" s="96"/>
      <c r="Q27" s="96"/>
      <c r="R27" s="96"/>
      <c r="S27" s="96"/>
      <c r="T27" s="96"/>
      <c r="U27" s="96"/>
      <c r="V27" s="96"/>
      <c r="W27" s="96"/>
      <c r="X27" s="20"/>
      <c r="Y27" s="20"/>
    </row>
    <row r="28" spans="1:25">
      <c r="L28" s="20"/>
      <c r="M28" s="20"/>
      <c r="N28" s="20"/>
      <c r="O28" s="20"/>
      <c r="P28" s="20"/>
      <c r="Q28" s="20"/>
      <c r="R28" s="20"/>
      <c r="S28" s="20"/>
      <c r="T28" s="20"/>
      <c r="U28" s="20"/>
      <c r="V28" s="20"/>
      <c r="W28" s="20"/>
      <c r="X28" s="20"/>
      <c r="Y28" s="20"/>
    </row>
    <row r="29" spans="1:25">
      <c r="L29" s="20"/>
      <c r="M29" s="20"/>
      <c r="N29" s="20"/>
      <c r="O29" s="20"/>
      <c r="P29" s="20"/>
      <c r="Q29" s="20"/>
      <c r="R29" s="20"/>
      <c r="S29" s="20"/>
      <c r="T29" s="20"/>
      <c r="U29" s="20"/>
      <c r="V29" s="20"/>
      <c r="W29" s="20"/>
      <c r="X29" s="20"/>
      <c r="Y29" s="20"/>
    </row>
    <row r="30" spans="1:25">
      <c r="L30" s="20"/>
      <c r="M30" s="20"/>
      <c r="N30" s="20"/>
      <c r="O30" s="20"/>
      <c r="P30" s="20"/>
      <c r="Q30" s="20"/>
      <c r="R30" s="20"/>
      <c r="S30" s="20"/>
      <c r="T30" s="20"/>
      <c r="U30" s="20"/>
      <c r="V30" s="20"/>
      <c r="W30" s="20"/>
      <c r="X30" s="20"/>
      <c r="Y30" s="20"/>
    </row>
  </sheetData>
  <pageMargins left="0.31496062992125984" right="0.31496062992125984" top="0.78740157480314965" bottom="0.78740157480314965" header="0.31496062992125984" footer="0.31496062992125984"/>
  <pageSetup paperSize="9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7A77F5-B350-48BA-A7E3-6900860B42E7}">
  <dimension ref="A1:Y32"/>
  <sheetViews>
    <sheetView workbookViewId="0">
      <selection activeCell="T14" sqref="T14"/>
    </sheetView>
  </sheetViews>
  <sheetFormatPr defaultColWidth="11.42578125" defaultRowHeight="14.45" outlineLevelRow="2"/>
  <cols>
    <col min="1" max="1" width="8.140625" customWidth="1"/>
    <col min="2" max="2" width="8.5703125" customWidth="1"/>
    <col min="3" max="3" width="43.42578125" customWidth="1"/>
    <col min="4" max="5" width="12.140625" hidden="1" customWidth="1"/>
    <col min="6" max="23" width="12.140625" customWidth="1"/>
  </cols>
  <sheetData>
    <row r="1" spans="1:25">
      <c r="A1" s="275" t="s">
        <v>1149</v>
      </c>
      <c r="B1" s="194"/>
      <c r="C1" s="194"/>
      <c r="D1" s="62" t="s">
        <v>622</v>
      </c>
      <c r="E1" s="63" t="s">
        <v>622</v>
      </c>
      <c r="F1" s="62" t="s">
        <v>622</v>
      </c>
      <c r="G1" s="308" t="s">
        <v>622</v>
      </c>
      <c r="H1" s="62" t="s">
        <v>622</v>
      </c>
      <c r="I1" s="308" t="s">
        <v>622</v>
      </c>
      <c r="J1" s="406" t="s">
        <v>622</v>
      </c>
      <c r="K1" s="308" t="s">
        <v>622</v>
      </c>
      <c r="L1" s="195" t="s">
        <v>622</v>
      </c>
      <c r="M1" s="196" t="s">
        <v>622</v>
      </c>
      <c r="N1" s="196" t="s">
        <v>622</v>
      </c>
      <c r="O1" s="196" t="s">
        <v>622</v>
      </c>
      <c r="P1" s="196" t="s">
        <v>622</v>
      </c>
      <c r="Q1" s="196" t="s">
        <v>622</v>
      </c>
      <c r="R1" s="196" t="s">
        <v>622</v>
      </c>
      <c r="S1" s="196" t="s">
        <v>622</v>
      </c>
      <c r="T1" s="196" t="s">
        <v>622</v>
      </c>
      <c r="U1" s="196" t="s">
        <v>622</v>
      </c>
      <c r="V1" s="196" t="s">
        <v>622</v>
      </c>
      <c r="W1" s="63" t="s">
        <v>622</v>
      </c>
    </row>
    <row r="2" spans="1:25">
      <c r="A2" s="197"/>
      <c r="B2" s="22"/>
      <c r="C2" s="22"/>
      <c r="D2" s="67" t="s">
        <v>626</v>
      </c>
      <c r="E2" s="68" t="s">
        <v>626</v>
      </c>
      <c r="F2" s="67" t="s">
        <v>627</v>
      </c>
      <c r="G2" s="309" t="s">
        <v>627</v>
      </c>
      <c r="H2" s="67" t="s">
        <v>627</v>
      </c>
      <c r="I2" s="309" t="s">
        <v>628</v>
      </c>
      <c r="J2" s="407" t="s">
        <v>1101</v>
      </c>
      <c r="K2" s="309" t="s">
        <v>1102</v>
      </c>
      <c r="L2" s="69" t="s">
        <v>1103</v>
      </c>
      <c r="M2" s="69" t="s">
        <v>1103</v>
      </c>
      <c r="N2" s="69" t="s">
        <v>1103</v>
      </c>
      <c r="O2" s="69" t="s">
        <v>1103</v>
      </c>
      <c r="P2" s="69" t="s">
        <v>1103</v>
      </c>
      <c r="Q2" s="69" t="s">
        <v>1103</v>
      </c>
      <c r="R2" s="69" t="s">
        <v>1103</v>
      </c>
      <c r="S2" s="69" t="s">
        <v>1103</v>
      </c>
      <c r="T2" s="69" t="s">
        <v>1103</v>
      </c>
      <c r="U2" s="69" t="s">
        <v>1103</v>
      </c>
      <c r="V2" s="69" t="s">
        <v>1103</v>
      </c>
      <c r="W2" s="69" t="s">
        <v>1103</v>
      </c>
    </row>
    <row r="3" spans="1:25">
      <c r="A3" s="197" t="s">
        <v>1104</v>
      </c>
      <c r="B3" s="22" t="s">
        <v>1105</v>
      </c>
      <c r="C3" s="22"/>
      <c r="D3" s="67" t="s">
        <v>629</v>
      </c>
      <c r="E3" s="70" t="s">
        <v>630</v>
      </c>
      <c r="F3" s="67" t="s">
        <v>629</v>
      </c>
      <c r="G3" s="309" t="s">
        <v>629</v>
      </c>
      <c r="H3" s="67" t="s">
        <v>1106</v>
      </c>
      <c r="I3" s="309" t="s">
        <v>629</v>
      </c>
      <c r="J3" s="407" t="s">
        <v>630</v>
      </c>
      <c r="K3" s="309" t="s">
        <v>629</v>
      </c>
      <c r="L3" s="181" t="s">
        <v>630</v>
      </c>
      <c r="M3" s="71" t="s">
        <v>630</v>
      </c>
      <c r="N3" s="71" t="s">
        <v>630</v>
      </c>
      <c r="O3" s="71" t="s">
        <v>630</v>
      </c>
      <c r="P3" s="71" t="s">
        <v>630</v>
      </c>
      <c r="Q3" s="71" t="s">
        <v>630</v>
      </c>
      <c r="R3" s="71" t="s">
        <v>630</v>
      </c>
      <c r="S3" s="71" t="s">
        <v>630</v>
      </c>
      <c r="T3" s="71" t="s">
        <v>630</v>
      </c>
      <c r="U3" s="71" t="s">
        <v>630</v>
      </c>
      <c r="V3" s="71" t="s">
        <v>630</v>
      </c>
      <c r="W3" s="70" t="s">
        <v>630</v>
      </c>
    </row>
    <row r="4" spans="1:25" ht="31.15" thickBot="1">
      <c r="A4" s="198" t="s">
        <v>632</v>
      </c>
      <c r="B4" s="76"/>
      <c r="C4" s="76" t="s">
        <v>633</v>
      </c>
      <c r="D4" s="72" t="s">
        <v>634</v>
      </c>
      <c r="E4" s="73">
        <v>45199</v>
      </c>
      <c r="F4" s="72" t="s">
        <v>637</v>
      </c>
      <c r="G4" s="330" t="s">
        <v>1108</v>
      </c>
      <c r="H4" s="72">
        <v>45565</v>
      </c>
      <c r="I4" s="310" t="s">
        <v>1109</v>
      </c>
      <c r="J4" s="408">
        <v>45930</v>
      </c>
      <c r="K4" s="409" t="s">
        <v>1110</v>
      </c>
      <c r="L4" s="905">
        <v>45961</v>
      </c>
      <c r="M4" s="906">
        <v>45991</v>
      </c>
      <c r="N4" s="906">
        <v>46022</v>
      </c>
      <c r="O4" s="906">
        <v>46053</v>
      </c>
      <c r="P4" s="906">
        <v>46081</v>
      </c>
      <c r="Q4" s="905">
        <v>46112</v>
      </c>
      <c r="R4" s="906">
        <v>46142</v>
      </c>
      <c r="S4" s="906">
        <v>46173</v>
      </c>
      <c r="T4" s="906">
        <v>46203</v>
      </c>
      <c r="U4" s="906">
        <v>46234</v>
      </c>
      <c r="V4" s="905">
        <v>46265</v>
      </c>
      <c r="W4" s="906">
        <v>46295</v>
      </c>
    </row>
    <row r="5" spans="1:25" ht="15" thickBot="1">
      <c r="A5" s="240"/>
      <c r="B5" s="241"/>
      <c r="C5" s="242" t="s">
        <v>652</v>
      </c>
      <c r="D5" s="232"/>
      <c r="E5" s="233"/>
      <c r="F5" s="234"/>
      <c r="G5" s="234"/>
      <c r="H5" s="234"/>
      <c r="I5" s="374"/>
      <c r="J5" s="234"/>
      <c r="K5" s="234"/>
      <c r="L5" s="235"/>
      <c r="M5" s="236"/>
      <c r="N5" s="236"/>
      <c r="O5" s="236"/>
      <c r="P5" s="236"/>
      <c r="Q5" s="236"/>
      <c r="R5" s="236"/>
      <c r="S5" s="236"/>
      <c r="T5" s="236"/>
      <c r="U5" s="236"/>
      <c r="V5" s="236"/>
      <c r="W5" s="237"/>
      <c r="X5" s="20"/>
      <c r="Y5" s="20"/>
    </row>
    <row r="6" spans="1:25" outlineLevel="2">
      <c r="A6" s="907" t="s">
        <v>94</v>
      </c>
      <c r="B6" s="908" t="s">
        <v>95</v>
      </c>
      <c r="C6" s="909" t="s">
        <v>1120</v>
      </c>
      <c r="D6" s="910">
        <f>Haushalt!G41</f>
        <v>29578</v>
      </c>
      <c r="E6" s="910">
        <f>Fachschaften_Gesamt!E15</f>
        <v>23885</v>
      </c>
      <c r="F6" s="910">
        <f>Haushalt!I41</f>
        <v>23500</v>
      </c>
      <c r="G6" s="910" t="e">
        <f>Haushalt!#REF!</f>
        <v>#REF!</v>
      </c>
      <c r="H6" s="910">
        <v>28160</v>
      </c>
      <c r="I6" s="930">
        <v>25000</v>
      </c>
      <c r="J6" s="930">
        <v>26800</v>
      </c>
      <c r="K6" s="910">
        <f>Fachschaften_Gesamt!K15</f>
        <v>25000</v>
      </c>
      <c r="L6" s="912">
        <f>Fachschaften_Gesamt!L15</f>
        <v>1400</v>
      </c>
      <c r="M6" s="912">
        <f>Fachschaften_Gesamt!M15</f>
        <v>3700</v>
      </c>
      <c r="N6" s="912">
        <f>Fachschaften_Gesamt!N15</f>
        <v>3700</v>
      </c>
      <c r="O6" s="912">
        <f>Fachschaften_Gesamt!O15</f>
        <v>7600</v>
      </c>
      <c r="P6" s="912">
        <f>Fachschaften_Gesamt!P15</f>
        <v>14150</v>
      </c>
      <c r="Q6" s="912">
        <f>Fachschaften_Gesamt!Q15</f>
        <v>15000</v>
      </c>
      <c r="R6" s="912">
        <f>Fachschaften_Gesamt!R15</f>
        <v>15350</v>
      </c>
      <c r="S6" s="912">
        <f>Fachschaften_Gesamt!S15</f>
        <v>15800</v>
      </c>
      <c r="T6" s="912">
        <f>Fachschaften_Gesamt!T15</f>
        <v>15300</v>
      </c>
      <c r="U6" s="912" t="e">
        <f>Fachschaften_Gesamt!U15</f>
        <v>#REF!</v>
      </c>
      <c r="V6" s="912" t="e">
        <f>Fachschaften_Gesamt!V15</f>
        <v>#REF!</v>
      </c>
      <c r="W6" s="912" t="e">
        <f>Fachschaften_Gesamt!W15</f>
        <v>#REF!</v>
      </c>
      <c r="X6" s="20"/>
      <c r="Y6" s="20"/>
    </row>
    <row r="7" spans="1:25" outlineLevel="2">
      <c r="A7" s="845" t="s">
        <v>104</v>
      </c>
      <c r="B7" s="490"/>
      <c r="C7" s="846" t="s">
        <v>1121</v>
      </c>
      <c r="D7" s="847">
        <f>Haushalt!G48</f>
        <v>0</v>
      </c>
      <c r="E7" s="847"/>
      <c r="F7" s="847">
        <f>Haushalt!I48</f>
        <v>0</v>
      </c>
      <c r="G7" s="847" t="e">
        <f>Haushalt!#REF!</f>
        <v>#REF!</v>
      </c>
      <c r="H7" s="847"/>
      <c r="I7" s="952"/>
      <c r="J7" s="952"/>
      <c r="K7" s="847">
        <f>Fachschaften_Gesamt!K16</f>
        <v>0</v>
      </c>
      <c r="L7" s="953"/>
      <c r="M7" s="931"/>
      <c r="N7" s="931"/>
      <c r="O7" s="931"/>
      <c r="P7" s="931"/>
      <c r="Q7" s="931"/>
      <c r="R7" s="931"/>
      <c r="S7" s="931"/>
      <c r="T7" s="931"/>
      <c r="U7" s="931"/>
      <c r="V7" s="931"/>
      <c r="W7" s="931"/>
      <c r="X7" s="20"/>
      <c r="Y7" s="20"/>
    </row>
    <row r="8" spans="1:25" ht="15" outlineLevel="2" thickBot="1">
      <c r="A8" s="231" t="s">
        <v>111</v>
      </c>
      <c r="B8" s="227"/>
      <c r="C8" s="199" t="s">
        <v>1122</v>
      </c>
      <c r="D8" s="228">
        <f>Haushalt!G55</f>
        <v>0</v>
      </c>
      <c r="E8" s="228"/>
      <c r="F8" s="228">
        <f>Haushalt!I55</f>
        <v>0</v>
      </c>
      <c r="G8" s="228" t="e">
        <f>Haushalt!#REF!</f>
        <v>#REF!</v>
      </c>
      <c r="H8" s="847"/>
      <c r="I8" s="352"/>
      <c r="J8" s="352"/>
      <c r="K8" s="228">
        <f>Fachschaften_Gesamt!K17</f>
        <v>0</v>
      </c>
      <c r="L8" s="229"/>
      <c r="M8" s="230"/>
      <c r="N8" s="230"/>
      <c r="O8" s="230"/>
      <c r="P8" s="230"/>
      <c r="Q8" s="230"/>
      <c r="R8" s="230"/>
      <c r="S8" s="230"/>
      <c r="T8" s="230"/>
      <c r="U8" s="230"/>
      <c r="V8" s="230"/>
      <c r="W8" s="230"/>
      <c r="X8" s="20"/>
      <c r="Y8" s="20"/>
    </row>
    <row r="9" spans="1:25" ht="15" thickBot="1">
      <c r="A9" s="200"/>
      <c r="B9" s="201"/>
      <c r="C9" s="202" t="s">
        <v>1126</v>
      </c>
      <c r="D9" s="224">
        <f t="shared" ref="D9:W9" si="0">SUM(D6:D8)</f>
        <v>29578</v>
      </c>
      <c r="E9" s="203">
        <f t="shared" si="0"/>
        <v>23885</v>
      </c>
      <c r="F9" s="224">
        <f t="shared" si="0"/>
        <v>23500</v>
      </c>
      <c r="G9" s="224" t="e">
        <f t="shared" ref="G9:I9" si="1">SUM(G6:G8)</f>
        <v>#REF!</v>
      </c>
      <c r="H9" s="224">
        <f t="shared" si="1"/>
        <v>28160</v>
      </c>
      <c r="I9" s="224">
        <f t="shared" si="1"/>
        <v>25000</v>
      </c>
      <c r="J9" s="403">
        <v>26800</v>
      </c>
      <c r="K9" s="224">
        <f>SUM(K6:K8)</f>
        <v>25000</v>
      </c>
      <c r="L9" s="204">
        <f t="shared" si="0"/>
        <v>1400</v>
      </c>
      <c r="M9" s="205">
        <f t="shared" si="0"/>
        <v>3700</v>
      </c>
      <c r="N9" s="205">
        <f t="shared" si="0"/>
        <v>3700</v>
      </c>
      <c r="O9" s="205">
        <f t="shared" si="0"/>
        <v>7600</v>
      </c>
      <c r="P9" s="205">
        <f t="shared" si="0"/>
        <v>14150</v>
      </c>
      <c r="Q9" s="205">
        <f t="shared" si="0"/>
        <v>15000</v>
      </c>
      <c r="R9" s="205">
        <f t="shared" si="0"/>
        <v>15350</v>
      </c>
      <c r="S9" s="205">
        <f t="shared" si="0"/>
        <v>15800</v>
      </c>
      <c r="T9" s="205">
        <f t="shared" si="0"/>
        <v>15300</v>
      </c>
      <c r="U9" s="205" t="e">
        <f t="shared" ref="U9" si="2">SUM(U6:U8)</f>
        <v>#REF!</v>
      </c>
      <c r="V9" s="205" t="e">
        <f t="shared" si="0"/>
        <v>#REF!</v>
      </c>
      <c r="W9" s="205" t="e">
        <f t="shared" si="0"/>
        <v>#REF!</v>
      </c>
      <c r="X9" s="20"/>
      <c r="Y9" s="20"/>
    </row>
    <row r="10" spans="1:25">
      <c r="A10" s="22"/>
      <c r="B10" s="22"/>
      <c r="C10" s="22"/>
      <c r="D10" s="206"/>
      <c r="E10" s="207"/>
      <c r="F10" s="206"/>
      <c r="G10" s="206"/>
      <c r="H10" s="206"/>
      <c r="I10" s="206"/>
      <c r="J10" s="206"/>
      <c r="K10" s="412"/>
      <c r="L10" s="90"/>
      <c r="M10" s="90"/>
      <c r="N10" s="90"/>
      <c r="O10" s="90"/>
      <c r="P10" s="90"/>
      <c r="Q10" s="90"/>
      <c r="R10" s="90"/>
      <c r="S10" s="90"/>
      <c r="T10" s="90"/>
      <c r="U10" s="90"/>
      <c r="V10" s="90"/>
      <c r="W10" s="208"/>
      <c r="X10" s="20"/>
      <c r="Y10" s="20"/>
    </row>
    <row r="11" spans="1:25" ht="15" thickBot="1">
      <c r="A11" s="219"/>
      <c r="B11" s="219"/>
      <c r="C11" s="219"/>
      <c r="D11" s="83"/>
      <c r="E11" s="83"/>
      <c r="F11" s="83"/>
      <c r="G11" s="83"/>
      <c r="H11" s="83"/>
      <c r="I11" s="83"/>
      <c r="J11" s="83"/>
      <c r="K11" s="83"/>
      <c r="L11" s="96"/>
      <c r="M11" s="96"/>
      <c r="N11" s="96"/>
      <c r="O11" s="96"/>
      <c r="P11" s="96"/>
      <c r="Q11" s="96"/>
      <c r="R11" s="96"/>
      <c r="S11" s="96"/>
      <c r="T11" s="96"/>
      <c r="U11" s="96"/>
      <c r="V11" s="96"/>
      <c r="W11" s="96"/>
      <c r="X11" s="20"/>
      <c r="Y11" s="20"/>
    </row>
    <row r="12" spans="1:25" ht="15" thickBot="1">
      <c r="A12" s="238" t="s">
        <v>1025</v>
      </c>
      <c r="B12" s="239"/>
      <c r="C12" s="243" t="s">
        <v>1026</v>
      </c>
      <c r="D12" s="83"/>
      <c r="E12" s="101"/>
      <c r="F12" s="83"/>
      <c r="G12" s="83"/>
      <c r="H12" s="83"/>
      <c r="I12" s="83"/>
      <c r="J12" s="83"/>
      <c r="K12" s="413"/>
      <c r="L12" s="96"/>
      <c r="M12" s="96"/>
      <c r="N12" s="96"/>
      <c r="O12" s="96"/>
      <c r="P12" s="96"/>
      <c r="Q12" s="96"/>
      <c r="R12" s="96"/>
      <c r="S12" s="96"/>
      <c r="T12" s="96"/>
      <c r="U12" s="96"/>
      <c r="V12" s="90"/>
      <c r="W12" s="96"/>
      <c r="X12" s="20"/>
      <c r="Y12" s="20"/>
    </row>
    <row r="13" spans="1:25" outlineLevel="2">
      <c r="A13" s="891" t="s">
        <v>157</v>
      </c>
      <c r="B13" s="891" t="s">
        <v>1027</v>
      </c>
      <c r="C13" s="954" t="s">
        <v>1127</v>
      </c>
      <c r="D13" s="225">
        <f>800*12</f>
        <v>9600</v>
      </c>
      <c r="E13" s="268">
        <f>Fachschaften_Gesamt!E79</f>
        <v>9600</v>
      </c>
      <c r="F13" s="225">
        <f>800*12</f>
        <v>9600</v>
      </c>
      <c r="G13" s="225">
        <f>800*12</f>
        <v>9600</v>
      </c>
      <c r="H13" s="357">
        <v>7680</v>
      </c>
      <c r="I13" s="356">
        <v>9600</v>
      </c>
      <c r="J13" s="372">
        <v>7680</v>
      </c>
      <c r="K13" s="225">
        <f>Fachschaften_Gesamt!K79</f>
        <v>9600</v>
      </c>
      <c r="L13" s="298">
        <f>Fachschaften_Gesamt!L79</f>
        <v>0</v>
      </c>
      <c r="M13" s="298">
        <f>Fachschaften_Gesamt!M79</f>
        <v>0</v>
      </c>
      <c r="N13" s="298">
        <f>Fachschaften_Gesamt!N79</f>
        <v>0</v>
      </c>
      <c r="O13" s="298">
        <f>Fachschaften_Gesamt!O79</f>
        <v>0</v>
      </c>
      <c r="P13" s="298">
        <f>Fachschaften_Gesamt!P79</f>
        <v>0</v>
      </c>
      <c r="Q13" s="298">
        <f>Fachschaften_Gesamt!Q79</f>
        <v>0</v>
      </c>
      <c r="R13" s="298">
        <f>Fachschaften_Gesamt!R79</f>
        <v>0</v>
      </c>
      <c r="S13" s="298">
        <f>Fachschaften_Gesamt!S79</f>
        <v>0</v>
      </c>
      <c r="T13" s="298">
        <f>Fachschaften_Gesamt!T79</f>
        <v>0</v>
      </c>
      <c r="U13" s="298">
        <f>Fachschaften_Gesamt!U79</f>
        <v>0</v>
      </c>
      <c r="V13" s="298">
        <f>Fachschaften_Gesamt!V79</f>
        <v>0</v>
      </c>
      <c r="W13" s="298">
        <f>Fachschaften_Gesamt!W79</f>
        <v>0</v>
      </c>
      <c r="X13" s="20"/>
      <c r="Y13" s="20"/>
    </row>
    <row r="14" spans="1:25" outlineLevel="2">
      <c r="A14" s="955" t="s">
        <v>171</v>
      </c>
      <c r="B14" s="955" t="s">
        <v>1027</v>
      </c>
      <c r="C14" s="954" t="s">
        <v>1128</v>
      </c>
      <c r="D14" s="956">
        <f>Haushalt!G92</f>
        <v>5000</v>
      </c>
      <c r="E14" s="957">
        <f>Fachschaften_Gesamt!E80</f>
        <v>2455</v>
      </c>
      <c r="F14" s="956">
        <f>Haushalt!I92</f>
        <v>4400</v>
      </c>
      <c r="G14" s="956" t="e">
        <f>Haushalt!#REF!</f>
        <v>#REF!</v>
      </c>
      <c r="H14" s="937">
        <v>1860</v>
      </c>
      <c r="I14" s="958">
        <v>4400</v>
      </c>
      <c r="J14" s="939">
        <v>705</v>
      </c>
      <c r="K14" s="956">
        <f>Fachschaften_Gesamt!K80</f>
        <v>4400</v>
      </c>
      <c r="L14" s="953">
        <f>Fachschaften_Gesamt!L80</f>
        <v>220</v>
      </c>
      <c r="M14" s="953">
        <f>Fachschaften_Gesamt!M80</f>
        <v>765</v>
      </c>
      <c r="N14" s="953">
        <f>Fachschaften_Gesamt!N80</f>
        <v>765</v>
      </c>
      <c r="O14" s="953">
        <f>Fachschaften_Gesamt!O80</f>
        <v>850</v>
      </c>
      <c r="P14" s="953">
        <f>Fachschaften_Gesamt!P80</f>
        <v>950</v>
      </c>
      <c r="Q14" s="953">
        <f>Fachschaften_Gesamt!Q80</f>
        <v>950</v>
      </c>
      <c r="R14" s="953">
        <f>Fachschaften_Gesamt!R80</f>
        <v>1585</v>
      </c>
      <c r="S14" s="953">
        <f>Fachschaften_Gesamt!S80</f>
        <v>1865</v>
      </c>
      <c r="T14" s="953">
        <f>Fachschaften_Gesamt!T80</f>
        <v>1985</v>
      </c>
      <c r="U14" s="953"/>
      <c r="V14" s="953"/>
      <c r="W14" s="953"/>
      <c r="X14" s="20"/>
      <c r="Y14" s="20"/>
    </row>
    <row r="15" spans="1:25" outlineLevel="2">
      <c r="A15" s="955" t="s">
        <v>281</v>
      </c>
      <c r="B15" s="955" t="s">
        <v>282</v>
      </c>
      <c r="C15" s="940" t="s">
        <v>1129</v>
      </c>
      <c r="D15" s="956">
        <f>Haushalt!G140</f>
        <v>7800</v>
      </c>
      <c r="E15" s="957">
        <f>Fachschaften_Gesamt!E81</f>
        <v>2926.88</v>
      </c>
      <c r="F15" s="956">
        <f>Haushalt!I140</f>
        <v>12000</v>
      </c>
      <c r="G15" s="956" t="e">
        <f>Haushalt!#REF!</f>
        <v>#REF!</v>
      </c>
      <c r="H15" s="937">
        <v>3131.09</v>
      </c>
      <c r="I15" s="958">
        <v>6000</v>
      </c>
      <c r="J15" s="939">
        <v>1401.96</v>
      </c>
      <c r="K15" s="956">
        <f>Fachschaften_Gesamt!K81</f>
        <v>6000</v>
      </c>
      <c r="L15" s="953">
        <f>Fachschaften_Gesamt!L81</f>
        <v>247.8</v>
      </c>
      <c r="M15" s="953">
        <f>Fachschaften_Gesamt!M81</f>
        <v>1936.75</v>
      </c>
      <c r="N15" s="953">
        <f>Fachschaften_Gesamt!N81</f>
        <v>1936.75</v>
      </c>
      <c r="O15" s="953">
        <f>Fachschaften_Gesamt!O81</f>
        <v>2072.9499999999998</v>
      </c>
      <c r="P15" s="953">
        <f>Fachschaften_Gesamt!P81</f>
        <v>2347.4499999999998</v>
      </c>
      <c r="Q15" s="953">
        <f>Fachschaften_Gesamt!Q81</f>
        <v>2511.4499999999998</v>
      </c>
      <c r="R15" s="953">
        <f>Fachschaften_Gesamt!R81</f>
        <v>3724.05</v>
      </c>
      <c r="S15" s="953">
        <f>Fachschaften_Gesamt!S81</f>
        <v>4654.1499999999996</v>
      </c>
      <c r="T15" s="953">
        <f>Fachschaften_Gesamt!T81</f>
        <v>4714.1499999999996</v>
      </c>
      <c r="U15" s="953" t="e">
        <f>Fachschaften_Gesamt!U81</f>
        <v>#REF!</v>
      </c>
      <c r="V15" s="953" t="e">
        <f>Fachschaften_Gesamt!V81</f>
        <v>#REF!</v>
      </c>
      <c r="W15" s="953" t="e">
        <f>Fachschaften_Gesamt!W81</f>
        <v>#REF!</v>
      </c>
      <c r="X15" s="20"/>
      <c r="Y15" s="20"/>
    </row>
    <row r="16" spans="1:25" outlineLevel="2">
      <c r="A16" s="955" t="s">
        <v>308</v>
      </c>
      <c r="B16" s="955" t="s">
        <v>309</v>
      </c>
      <c r="C16" s="954" t="s">
        <v>1130</v>
      </c>
      <c r="D16" s="956">
        <f>Haushalt!G152</f>
        <v>1700</v>
      </c>
      <c r="E16" s="957">
        <f>Fachschaften_Gesamt!E82</f>
        <v>1335.69</v>
      </c>
      <c r="F16" s="956">
        <f>Haushalt!I152</f>
        <v>2500</v>
      </c>
      <c r="G16" s="956" t="e">
        <f>Haushalt!#REF!</f>
        <v>#REF!</v>
      </c>
      <c r="H16" s="937">
        <v>1281.51</v>
      </c>
      <c r="I16" s="958">
        <v>2500</v>
      </c>
      <c r="J16" s="939">
        <v>3007.13</v>
      </c>
      <c r="K16" s="956">
        <f>Fachschaften_Gesamt!K82</f>
        <v>2500</v>
      </c>
      <c r="L16" s="953">
        <f>Fachschaften_Gesamt!L82</f>
        <v>218.43</v>
      </c>
      <c r="M16" s="953">
        <f>Fachschaften_Gesamt!M82</f>
        <v>1195.96</v>
      </c>
      <c r="N16" s="953">
        <f>Fachschaften_Gesamt!N82</f>
        <v>1330.28</v>
      </c>
      <c r="O16" s="953">
        <f>Fachschaften_Gesamt!O82</f>
        <v>1559.1</v>
      </c>
      <c r="P16" s="953">
        <f>Fachschaften_Gesamt!P82</f>
        <v>1752.42</v>
      </c>
      <c r="Q16" s="953">
        <f>Fachschaften_Gesamt!Q82</f>
        <v>1886.7399999999998</v>
      </c>
      <c r="R16" s="953">
        <f>Fachschaften_Gesamt!R82</f>
        <v>2330.7200000000003</v>
      </c>
      <c r="S16" s="953">
        <f>Fachschaften_Gesamt!S82</f>
        <v>2645.12</v>
      </c>
      <c r="T16" s="953">
        <f>Fachschaften_Gesamt!T82</f>
        <v>3048.57</v>
      </c>
      <c r="U16" s="953" t="e">
        <f>Fachschaften_Gesamt!U82</f>
        <v>#REF!</v>
      </c>
      <c r="V16" s="953" t="e">
        <f>Fachschaften_Gesamt!V82</f>
        <v>#REF!</v>
      </c>
      <c r="W16" s="953" t="e">
        <f>Fachschaften_Gesamt!W82</f>
        <v>#REF!</v>
      </c>
      <c r="X16" s="20"/>
      <c r="Y16" s="20"/>
    </row>
    <row r="17" spans="1:25" outlineLevel="2">
      <c r="A17" s="955" t="s">
        <v>331</v>
      </c>
      <c r="B17" s="955" t="s">
        <v>332</v>
      </c>
      <c r="C17" s="941" t="s">
        <v>1131</v>
      </c>
      <c r="D17" s="956">
        <f>Haushalt!G164</f>
        <v>500</v>
      </c>
      <c r="E17" s="957">
        <f>Fachschaften_Gesamt!E83</f>
        <v>0</v>
      </c>
      <c r="F17" s="956">
        <f>Haushalt!I164</f>
        <v>500</v>
      </c>
      <c r="G17" s="956" t="e">
        <f>Haushalt!#REF!</f>
        <v>#REF!</v>
      </c>
      <c r="H17" s="937">
        <v>0</v>
      </c>
      <c r="I17" s="958">
        <v>500</v>
      </c>
      <c r="J17" s="939">
        <v>203.02</v>
      </c>
      <c r="K17" s="956">
        <f>Fachschaften_Gesamt!K83</f>
        <v>500</v>
      </c>
      <c r="L17" s="953">
        <f>Fachschaften_Gesamt!L83</f>
        <v>0</v>
      </c>
      <c r="M17" s="953">
        <f>Fachschaften_Gesamt!M83</f>
        <v>0</v>
      </c>
      <c r="N17" s="953">
        <f>Fachschaften_Gesamt!N83</f>
        <v>0</v>
      </c>
      <c r="O17" s="953">
        <f>Fachschaften_Gesamt!O83</f>
        <v>0</v>
      </c>
      <c r="P17" s="953">
        <f>Fachschaften_Gesamt!P83</f>
        <v>0</v>
      </c>
      <c r="Q17" s="953">
        <f>Fachschaften_Gesamt!Q83</f>
        <v>0</v>
      </c>
      <c r="R17" s="953">
        <f>Fachschaften_Gesamt!R83</f>
        <v>0</v>
      </c>
      <c r="S17" s="953">
        <f>Fachschaften_Gesamt!S83</f>
        <v>0</v>
      </c>
      <c r="T17" s="953">
        <f>Fachschaften_Gesamt!T83</f>
        <v>0</v>
      </c>
      <c r="U17" s="953" t="e">
        <f>Fachschaften_Gesamt!U83</f>
        <v>#REF!</v>
      </c>
      <c r="V17" s="953" t="e">
        <f>Fachschaften_Gesamt!V83</f>
        <v>#REF!</v>
      </c>
      <c r="W17" s="953" t="e">
        <f>Fachschaften_Gesamt!W83</f>
        <v>#REF!</v>
      </c>
      <c r="X17" s="20"/>
      <c r="Y17" s="20"/>
    </row>
    <row r="18" spans="1:25" outlineLevel="2">
      <c r="A18" s="955" t="s">
        <v>377</v>
      </c>
      <c r="B18" s="955" t="s">
        <v>1031</v>
      </c>
      <c r="C18" s="942" t="s">
        <v>1132</v>
      </c>
      <c r="D18" s="956">
        <f>Haushalt!G188</f>
        <v>25715</v>
      </c>
      <c r="E18" s="957">
        <f>Fachschaften_Gesamt!E84</f>
        <v>21264.22</v>
      </c>
      <c r="F18" s="956">
        <f>Haushalt!I188</f>
        <v>22000</v>
      </c>
      <c r="G18" s="956" t="e">
        <f>Haushalt!#REF!</f>
        <v>#REF!</v>
      </c>
      <c r="H18" s="937">
        <v>15581.06</v>
      </c>
      <c r="I18" s="958">
        <v>25000</v>
      </c>
      <c r="J18" s="939">
        <v>25703.75</v>
      </c>
      <c r="K18" s="956">
        <f>Fachschaften_Gesamt!K84</f>
        <v>25000</v>
      </c>
      <c r="L18" s="953">
        <f>Fachschaften_Gesamt!L84</f>
        <v>0</v>
      </c>
      <c r="M18" s="953">
        <f>Fachschaften_Gesamt!M84</f>
        <v>880</v>
      </c>
      <c r="N18" s="953">
        <f>Fachschaften_Gesamt!N84</f>
        <v>1760</v>
      </c>
      <c r="O18" s="953">
        <f>Fachschaften_Gesamt!O84</f>
        <v>1858.5</v>
      </c>
      <c r="P18" s="953">
        <f>Fachschaften_Gesamt!P84</f>
        <v>2585</v>
      </c>
      <c r="Q18" s="953">
        <f>Fachschaften_Gesamt!Q84</f>
        <v>10985</v>
      </c>
      <c r="R18" s="953">
        <f>Fachschaften_Gesamt!R84</f>
        <v>10985</v>
      </c>
      <c r="S18" s="953">
        <f>Fachschaften_Gesamt!S84</f>
        <v>10985</v>
      </c>
      <c r="T18" s="953">
        <f>Fachschaften_Gesamt!T84</f>
        <v>10985</v>
      </c>
      <c r="U18" s="953" t="e">
        <f>Fachschaften_Gesamt!U84</f>
        <v>#REF!</v>
      </c>
      <c r="V18" s="953" t="e">
        <f>Fachschaften_Gesamt!V84</f>
        <v>#REF!</v>
      </c>
      <c r="W18" s="953" t="e">
        <f>Fachschaften_Gesamt!W84</f>
        <v>#REF!</v>
      </c>
      <c r="X18" s="20"/>
      <c r="Y18" s="20"/>
    </row>
    <row r="19" spans="1:25" outlineLevel="2">
      <c r="A19" s="955" t="s">
        <v>388</v>
      </c>
      <c r="B19" s="955" t="s">
        <v>1031</v>
      </c>
      <c r="C19" s="954" t="s">
        <v>354</v>
      </c>
      <c r="D19" s="956">
        <f>Haushalt!G194</f>
        <v>2500</v>
      </c>
      <c r="E19" s="957"/>
      <c r="F19" s="956">
        <f>Haushalt!I194</f>
        <v>0</v>
      </c>
      <c r="G19" s="956" t="e">
        <f>Haushalt!#REF!</f>
        <v>#REF!</v>
      </c>
      <c r="H19" s="937">
        <v>3338.8</v>
      </c>
      <c r="I19" s="958">
        <v>3000</v>
      </c>
      <c r="J19" s="939">
        <v>0</v>
      </c>
      <c r="K19" s="956">
        <f>Fachschaften_Gesamt!K85</f>
        <v>3000</v>
      </c>
      <c r="L19" s="953">
        <f>Fachschaften_Gesamt!L85</f>
        <v>0</v>
      </c>
      <c r="M19" s="953">
        <f>Fachschaften_Gesamt!M85</f>
        <v>0</v>
      </c>
      <c r="N19" s="953">
        <f>Fachschaften_Gesamt!N85</f>
        <v>0</v>
      </c>
      <c r="O19" s="953">
        <f>Fachschaften_Gesamt!O85</f>
        <v>0</v>
      </c>
      <c r="P19" s="953">
        <f>Fachschaften_Gesamt!P85</f>
        <v>0</v>
      </c>
      <c r="Q19" s="953">
        <f>Fachschaften_Gesamt!Q85</f>
        <v>0</v>
      </c>
      <c r="R19" s="953">
        <f>Fachschaften_Gesamt!R85</f>
        <v>0</v>
      </c>
      <c r="S19" s="953">
        <f>Fachschaften_Gesamt!S85</f>
        <v>0</v>
      </c>
      <c r="T19" s="953">
        <f>Fachschaften_Gesamt!T85</f>
        <v>800</v>
      </c>
      <c r="U19" s="953" t="e">
        <f>Fachschaften_Gesamt!U85</f>
        <v>#REF!</v>
      </c>
      <c r="V19" s="953" t="e">
        <f>Fachschaften_Gesamt!V85</f>
        <v>#REF!</v>
      </c>
      <c r="W19" s="953" t="e">
        <f>Fachschaften_Gesamt!W85</f>
        <v>#REF!</v>
      </c>
      <c r="X19" s="20"/>
      <c r="Y19" s="20"/>
    </row>
    <row r="20" spans="1:25" outlineLevel="2">
      <c r="A20" s="955" t="s">
        <v>396</v>
      </c>
      <c r="B20" s="955" t="s">
        <v>1031</v>
      </c>
      <c r="C20" s="954" t="s">
        <v>1133</v>
      </c>
      <c r="D20" s="956">
        <f>Haushalt!G200</f>
        <v>500</v>
      </c>
      <c r="E20" s="957"/>
      <c r="F20" s="956">
        <f>Haushalt!I200</f>
        <v>0</v>
      </c>
      <c r="G20" s="956" t="e">
        <f>Haushalt!#REF!</f>
        <v>#REF!</v>
      </c>
      <c r="H20" s="937">
        <v>3338.8</v>
      </c>
      <c r="I20" s="958">
        <v>1000</v>
      </c>
      <c r="J20" s="939">
        <v>0</v>
      </c>
      <c r="K20" s="956">
        <f>Fachschaften_Gesamt!K86</f>
        <v>1000</v>
      </c>
      <c r="L20" s="953">
        <f>Fachschaften_Gesamt!L86</f>
        <v>0</v>
      </c>
      <c r="M20" s="953">
        <f>Fachschaften_Gesamt!M86</f>
        <v>0</v>
      </c>
      <c r="N20" s="953">
        <f>Fachschaften_Gesamt!N86</f>
        <v>0</v>
      </c>
      <c r="O20" s="953">
        <f>Fachschaften_Gesamt!O86</f>
        <v>0</v>
      </c>
      <c r="P20" s="953">
        <f>Fachschaften_Gesamt!P86</f>
        <v>0</v>
      </c>
      <c r="Q20" s="953">
        <f>Fachschaften_Gesamt!Q86</f>
        <v>0</v>
      </c>
      <c r="R20" s="953">
        <f>Fachschaften_Gesamt!R86</f>
        <v>0</v>
      </c>
      <c r="S20" s="953">
        <f>Fachschaften_Gesamt!S86</f>
        <v>0</v>
      </c>
      <c r="T20" s="953">
        <f>Fachschaften_Gesamt!T86</f>
        <v>0</v>
      </c>
      <c r="U20" s="953" t="e">
        <f>Fachschaften_Gesamt!U86</f>
        <v>#REF!</v>
      </c>
      <c r="V20" s="953" t="e">
        <f>Fachschaften_Gesamt!V86</f>
        <v>#REF!</v>
      </c>
      <c r="W20" s="953" t="e">
        <f>Fachschaften_Gesamt!W86</f>
        <v>#REF!</v>
      </c>
      <c r="X20" s="20"/>
      <c r="Y20" s="20"/>
    </row>
    <row r="21" spans="1:25" outlineLevel="2">
      <c r="A21" s="945" t="s">
        <v>406</v>
      </c>
      <c r="B21" s="945" t="s">
        <v>407</v>
      </c>
      <c r="C21" s="944" t="s">
        <v>399</v>
      </c>
      <c r="D21" s="956">
        <f>Haushalt!G206</f>
        <v>450</v>
      </c>
      <c r="E21" s="957">
        <f>Fachschaften_Gesamt!E87</f>
        <v>0</v>
      </c>
      <c r="F21" s="956">
        <f>Haushalt!I206</f>
        <v>0</v>
      </c>
      <c r="G21" s="956" t="e">
        <f>Haushalt!#REF!</f>
        <v>#REF!</v>
      </c>
      <c r="H21" s="937">
        <v>32</v>
      </c>
      <c r="I21" s="958">
        <v>300</v>
      </c>
      <c r="J21" s="939">
        <v>229.5</v>
      </c>
      <c r="K21" s="956">
        <f>Fachschaften_Gesamt!K87</f>
        <v>300</v>
      </c>
      <c r="L21" s="953">
        <f>Fachschaften_Gesamt!L87</f>
        <v>0</v>
      </c>
      <c r="M21" s="953">
        <f>Fachschaften_Gesamt!M87</f>
        <v>0</v>
      </c>
      <c r="N21" s="953">
        <f>Fachschaften_Gesamt!N87</f>
        <v>0</v>
      </c>
      <c r="O21" s="953">
        <f>Fachschaften_Gesamt!O87</f>
        <v>0</v>
      </c>
      <c r="P21" s="953">
        <f>Fachschaften_Gesamt!P87</f>
        <v>615.68000000000006</v>
      </c>
      <c r="Q21" s="953">
        <f>Fachschaften_Gesamt!Q87</f>
        <v>615.68000000000006</v>
      </c>
      <c r="R21" s="953">
        <f>Fachschaften_Gesamt!R87</f>
        <v>646.97</v>
      </c>
      <c r="S21" s="953">
        <f>Fachschaften_Gesamt!S87</f>
        <v>646.97</v>
      </c>
      <c r="T21" s="953">
        <f>Fachschaften_Gesamt!T87</f>
        <v>646.97</v>
      </c>
      <c r="U21" s="953" t="e">
        <f>Fachschaften_Gesamt!U87</f>
        <v>#REF!</v>
      </c>
      <c r="V21" s="953" t="e">
        <f>Fachschaften_Gesamt!V87</f>
        <v>#REF!</v>
      </c>
      <c r="W21" s="953" t="e">
        <f>Fachschaften_Gesamt!W87</f>
        <v>#REF!</v>
      </c>
      <c r="X21" s="20"/>
      <c r="Y21" s="20"/>
    </row>
    <row r="22" spans="1:25" outlineLevel="2">
      <c r="A22" s="945" t="s">
        <v>418</v>
      </c>
      <c r="B22" s="945" t="s">
        <v>419</v>
      </c>
      <c r="C22" s="944" t="s">
        <v>1134</v>
      </c>
      <c r="D22" s="956">
        <f>Haushalt!G212</f>
        <v>400</v>
      </c>
      <c r="E22" s="957">
        <f>Fachschaften_Gesamt!E88</f>
        <v>0</v>
      </c>
      <c r="F22" s="956">
        <f>Haushalt!I212</f>
        <v>1500</v>
      </c>
      <c r="G22" s="956" t="e">
        <f>Haushalt!#REF!</f>
        <v>#REF!</v>
      </c>
      <c r="H22" s="937">
        <v>0</v>
      </c>
      <c r="I22" s="958">
        <v>1500</v>
      </c>
      <c r="J22" s="939">
        <v>0</v>
      </c>
      <c r="K22" s="956">
        <f>Fachschaften_Gesamt!K88</f>
        <v>1500</v>
      </c>
      <c r="L22" s="953">
        <f>Fachschaften_Gesamt!L88</f>
        <v>0</v>
      </c>
      <c r="M22" s="953">
        <f>Fachschaften_Gesamt!M88</f>
        <v>0</v>
      </c>
      <c r="N22" s="953">
        <f>Fachschaften_Gesamt!N88</f>
        <v>0</v>
      </c>
      <c r="O22" s="953">
        <f>Fachschaften_Gesamt!O88</f>
        <v>0</v>
      </c>
      <c r="P22" s="953">
        <f>Fachschaften_Gesamt!P88</f>
        <v>0</v>
      </c>
      <c r="Q22" s="953">
        <f>Fachschaften_Gesamt!Q88</f>
        <v>0</v>
      </c>
      <c r="R22" s="953">
        <f>Fachschaften_Gesamt!R88</f>
        <v>0</v>
      </c>
      <c r="S22" s="953">
        <f>Fachschaften_Gesamt!S88</f>
        <v>0</v>
      </c>
      <c r="T22" s="953">
        <f>Fachschaften_Gesamt!T88</f>
        <v>0</v>
      </c>
      <c r="U22" s="953" t="e">
        <f>Fachschaften_Gesamt!U88</f>
        <v>#REF!</v>
      </c>
      <c r="V22" s="953" t="e">
        <f>Fachschaften_Gesamt!V88</f>
        <v>#REF!</v>
      </c>
      <c r="W22" s="953" t="e">
        <f>Fachschaften_Gesamt!W88</f>
        <v>#REF!</v>
      </c>
      <c r="X22" s="20"/>
      <c r="Y22" s="20"/>
    </row>
    <row r="23" spans="1:25" outlineLevel="2">
      <c r="A23" s="945" t="s">
        <v>430</v>
      </c>
      <c r="B23" s="945" t="s">
        <v>1038</v>
      </c>
      <c r="C23" s="944" t="s">
        <v>1135</v>
      </c>
      <c r="D23" s="956">
        <f>Haushalt!G218</f>
        <v>1700</v>
      </c>
      <c r="E23" s="957">
        <f>Fachschaften_Gesamt!E89</f>
        <v>2143.6</v>
      </c>
      <c r="F23" s="956">
        <f>Haushalt!I218</f>
        <v>0</v>
      </c>
      <c r="G23" s="956" t="e">
        <f>Haushalt!#REF!</f>
        <v>#REF!</v>
      </c>
      <c r="H23" s="937">
        <v>203.39</v>
      </c>
      <c r="I23" s="958">
        <v>100</v>
      </c>
      <c r="J23" s="939">
        <v>0</v>
      </c>
      <c r="K23" s="956">
        <f>Fachschaften_Gesamt!K89</f>
        <v>100</v>
      </c>
      <c r="L23" s="953">
        <f>Fachschaften_Gesamt!L89</f>
        <v>0</v>
      </c>
      <c r="M23" s="953">
        <f>Fachschaften_Gesamt!M89</f>
        <v>0</v>
      </c>
      <c r="N23" s="953">
        <f>Fachschaften_Gesamt!N89</f>
        <v>0</v>
      </c>
      <c r="O23" s="953">
        <f>Fachschaften_Gesamt!O89</f>
        <v>0</v>
      </c>
      <c r="P23" s="953">
        <f>Fachschaften_Gesamt!P89</f>
        <v>0</v>
      </c>
      <c r="Q23" s="953">
        <f>Fachschaften_Gesamt!Q89</f>
        <v>0</v>
      </c>
      <c r="R23" s="953">
        <f>Fachschaften_Gesamt!R89</f>
        <v>0</v>
      </c>
      <c r="S23" s="953">
        <f>Fachschaften_Gesamt!S89</f>
        <v>0</v>
      </c>
      <c r="T23" s="953">
        <f>Fachschaften_Gesamt!T89</f>
        <v>0</v>
      </c>
      <c r="U23" s="953" t="e">
        <f>Fachschaften_Gesamt!U89</f>
        <v>#REF!</v>
      </c>
      <c r="V23" s="953" t="e">
        <f>Fachschaften_Gesamt!V89</f>
        <v>#REF!</v>
      </c>
      <c r="W23" s="953" t="e">
        <f>Fachschaften_Gesamt!W89</f>
        <v>#REF!</v>
      </c>
      <c r="X23" s="20"/>
      <c r="Y23" s="20"/>
    </row>
    <row r="24" spans="1:25" outlineLevel="2">
      <c r="A24" s="945" t="s">
        <v>442</v>
      </c>
      <c r="B24" s="945" t="s">
        <v>1038</v>
      </c>
      <c r="C24" s="946" t="s">
        <v>1136</v>
      </c>
      <c r="D24" s="956">
        <f>Haushalt!G224</f>
        <v>3500</v>
      </c>
      <c r="E24" s="957"/>
      <c r="F24" s="956">
        <f>Haushalt!I224</f>
        <v>2000</v>
      </c>
      <c r="G24" s="956" t="e">
        <f>Haushalt!#REF!</f>
        <v>#REF!</v>
      </c>
      <c r="H24" s="937">
        <v>1830.52</v>
      </c>
      <c r="I24" s="958">
        <v>2500</v>
      </c>
      <c r="J24" s="939">
        <v>1754.48</v>
      </c>
      <c r="K24" s="956">
        <f>Fachschaften_Gesamt!K90</f>
        <v>2500</v>
      </c>
      <c r="L24" s="953">
        <f>Fachschaften_Gesamt!L90</f>
        <v>99</v>
      </c>
      <c r="M24" s="953">
        <f>Fachschaften_Gesamt!M90</f>
        <v>198</v>
      </c>
      <c r="N24" s="953">
        <f>Fachschaften_Gesamt!N90</f>
        <v>297</v>
      </c>
      <c r="O24" s="953">
        <f>Fachschaften_Gesamt!O90</f>
        <v>396</v>
      </c>
      <c r="P24" s="953">
        <f>Fachschaften_Gesamt!P90</f>
        <v>495</v>
      </c>
      <c r="Q24" s="953">
        <f>Fachschaften_Gesamt!Q90</f>
        <v>594</v>
      </c>
      <c r="R24" s="953">
        <f>Fachschaften_Gesamt!R90</f>
        <v>750.93</v>
      </c>
      <c r="S24" s="953">
        <f>Fachschaften_Gesamt!S90</f>
        <v>1429.33</v>
      </c>
      <c r="T24" s="953">
        <f>Fachschaften_Gesamt!T90</f>
        <v>1528.33</v>
      </c>
      <c r="U24" s="953" t="e">
        <f>Fachschaften_Gesamt!U90</f>
        <v>#REF!</v>
      </c>
      <c r="V24" s="953" t="e">
        <f>Fachschaften_Gesamt!V90</f>
        <v>#REF!</v>
      </c>
      <c r="W24" s="953" t="e">
        <f>Fachschaften_Gesamt!W90</f>
        <v>#REF!</v>
      </c>
      <c r="X24" s="20"/>
      <c r="Y24" s="20"/>
    </row>
    <row r="25" spans="1:25" ht="15" outlineLevel="2" thickBot="1">
      <c r="A25" s="945" t="s">
        <v>464</v>
      </c>
      <c r="B25" s="945" t="s">
        <v>1041</v>
      </c>
      <c r="C25" s="947" t="s">
        <v>1137</v>
      </c>
      <c r="D25" s="226">
        <f>Haushalt!G235/5</f>
        <v>584</v>
      </c>
      <c r="E25" s="957">
        <f>Fachschaften_Gesamt!E91</f>
        <v>0</v>
      </c>
      <c r="F25" s="226">
        <f>Haushalt!I235/5</f>
        <v>490</v>
      </c>
      <c r="G25" s="226" t="e">
        <f>Haushalt!#REF!/5</f>
        <v>#REF!</v>
      </c>
      <c r="H25" s="928">
        <v>0</v>
      </c>
      <c r="I25" s="929">
        <v>200</v>
      </c>
      <c r="J25" s="959">
        <v>0</v>
      </c>
      <c r="K25" s="956">
        <f>Fachschaften_Gesamt!K91</f>
        <v>0</v>
      </c>
      <c r="L25" s="953">
        <f>Fachschaften_Gesamt!L91</f>
        <v>0</v>
      </c>
      <c r="M25" s="953">
        <f>Fachschaften_Gesamt!M91</f>
        <v>0</v>
      </c>
      <c r="N25" s="953">
        <f>Fachschaften_Gesamt!N91</f>
        <v>0</v>
      </c>
      <c r="O25" s="953">
        <f>Fachschaften_Gesamt!O91</f>
        <v>0</v>
      </c>
      <c r="P25" s="953">
        <f>Fachschaften_Gesamt!P91</f>
        <v>0</v>
      </c>
      <c r="Q25" s="953">
        <f>Fachschaften_Gesamt!Q91</f>
        <v>0</v>
      </c>
      <c r="R25" s="953">
        <f>Fachschaften_Gesamt!R91</f>
        <v>0</v>
      </c>
      <c r="S25" s="953">
        <f>Fachschaften_Gesamt!S91</f>
        <v>0</v>
      </c>
      <c r="T25" s="953">
        <f>Fachschaften_Gesamt!T91</f>
        <v>0</v>
      </c>
      <c r="U25" s="953" t="e">
        <f>Fachschaften_Gesamt!U91</f>
        <v>#REF!</v>
      </c>
      <c r="V25" s="953" t="e">
        <f>Fachschaften_Gesamt!V91</f>
        <v>#REF!</v>
      </c>
      <c r="W25" s="953" t="e">
        <f>Fachschaften_Gesamt!W91</f>
        <v>#REF!</v>
      </c>
      <c r="X25" s="20"/>
      <c r="Y25" s="20"/>
    </row>
    <row r="26" spans="1:25">
      <c r="A26" s="209"/>
      <c r="B26" s="210"/>
      <c r="C26" s="211" t="s">
        <v>1079</v>
      </c>
      <c r="D26" s="212">
        <f t="shared" ref="D26:S26" si="3">SUM(D13:D25)</f>
        <v>59949</v>
      </c>
      <c r="E26" s="269">
        <f t="shared" si="3"/>
        <v>39725.39</v>
      </c>
      <c r="F26" s="212">
        <f t="shared" si="3"/>
        <v>54990</v>
      </c>
      <c r="G26" s="212" t="e">
        <f t="shared" ref="G26:H26" si="4">SUM(G13:G25)</f>
        <v>#REF!</v>
      </c>
      <c r="H26" s="212">
        <f t="shared" si="4"/>
        <v>38277.17</v>
      </c>
      <c r="I26" s="212">
        <f t="shared" ref="I26" si="5">SUM(I13:I25)</f>
        <v>56600</v>
      </c>
      <c r="J26" s="212">
        <v>40684.840000000004</v>
      </c>
      <c r="K26" s="212">
        <f>SUM(K13:K25)</f>
        <v>56400</v>
      </c>
      <c r="L26" s="411">
        <f t="shared" ref="L26:M26" si="6">SUM(L13:L25)</f>
        <v>785.23</v>
      </c>
      <c r="M26" s="269">
        <f t="shared" si="6"/>
        <v>4975.71</v>
      </c>
      <c r="N26" s="213">
        <f t="shared" si="3"/>
        <v>6089.03</v>
      </c>
      <c r="O26" s="213">
        <f t="shared" si="3"/>
        <v>6736.5499999999993</v>
      </c>
      <c r="P26" s="213">
        <f t="shared" si="3"/>
        <v>8745.5499999999993</v>
      </c>
      <c r="Q26" s="213">
        <f t="shared" si="3"/>
        <v>17542.87</v>
      </c>
      <c r="R26" s="213">
        <f t="shared" si="3"/>
        <v>20022.670000000002</v>
      </c>
      <c r="S26" s="213">
        <f t="shared" si="3"/>
        <v>22225.57</v>
      </c>
      <c r="T26" s="213">
        <f t="shared" ref="T26:U26" si="7">SUM(T13:T25)</f>
        <v>23708.020000000004</v>
      </c>
      <c r="U26" s="213" t="e">
        <f t="shared" si="7"/>
        <v>#REF!</v>
      </c>
      <c r="V26" s="213" t="e">
        <f t="shared" ref="V26:W26" si="8">SUM(V13:V25)</f>
        <v>#REF!</v>
      </c>
      <c r="W26" s="213" t="e">
        <f t="shared" si="8"/>
        <v>#REF!</v>
      </c>
      <c r="X26" s="20"/>
      <c r="Y26" s="20"/>
    </row>
    <row r="27" spans="1:25" ht="15" thickBot="1">
      <c r="A27" s="214"/>
      <c r="B27" s="215"/>
      <c r="C27" s="216" t="s">
        <v>1141</v>
      </c>
      <c r="D27" s="217">
        <f>SUM(D6+D7+D8)-D26</f>
        <v>-30371</v>
      </c>
      <c r="E27" s="217">
        <f>E6-E26</f>
        <v>-15840.39</v>
      </c>
      <c r="F27" s="217">
        <f t="shared" ref="F27:S27" si="9">SUM(F6+F7+F8)-F26</f>
        <v>-31490</v>
      </c>
      <c r="G27" s="217" t="e">
        <f t="shared" ref="G27:H27" si="10">SUM(G6+G7+G8)-G26</f>
        <v>#REF!</v>
      </c>
      <c r="H27" s="217">
        <f t="shared" si="10"/>
        <v>-10117.169999999998</v>
      </c>
      <c r="I27" s="217">
        <f t="shared" ref="I27" si="11">SUM(I6+I7+I8)-I26</f>
        <v>-31600</v>
      </c>
      <c r="J27" s="217">
        <v>-13884.840000000004</v>
      </c>
      <c r="K27" s="217">
        <f>K9-K26</f>
        <v>-31400</v>
      </c>
      <c r="L27" s="363">
        <f t="shared" si="9"/>
        <v>614.77</v>
      </c>
      <c r="M27" s="217">
        <f t="shared" si="9"/>
        <v>-1275.71</v>
      </c>
      <c r="N27" s="217">
        <f t="shared" si="9"/>
        <v>-2389.0299999999997</v>
      </c>
      <c r="O27" s="218">
        <f t="shared" si="9"/>
        <v>863.45000000000073</v>
      </c>
      <c r="P27" s="218">
        <f t="shared" si="9"/>
        <v>5404.4500000000007</v>
      </c>
      <c r="Q27" s="218">
        <f t="shared" si="9"/>
        <v>-2542.869999999999</v>
      </c>
      <c r="R27" s="218">
        <f t="shared" si="9"/>
        <v>-4672.6700000000019</v>
      </c>
      <c r="S27" s="218">
        <f t="shared" si="9"/>
        <v>-6425.57</v>
      </c>
      <c r="T27" s="218">
        <f t="shared" ref="T27:U27" si="12">SUM(T6+T7+T8)-T26</f>
        <v>-8408.0200000000041</v>
      </c>
      <c r="U27" s="218" t="e">
        <f t="shared" si="12"/>
        <v>#REF!</v>
      </c>
      <c r="V27" s="218" t="e">
        <f t="shared" ref="V27:W27" si="13">SUM(V6+V7+V8)-V26</f>
        <v>#REF!</v>
      </c>
      <c r="W27" s="218" t="e">
        <f t="shared" si="13"/>
        <v>#REF!</v>
      </c>
      <c r="X27" s="20"/>
      <c r="Y27" s="20"/>
    </row>
    <row r="28" spans="1:25">
      <c r="A28" s="219"/>
      <c r="B28" s="219"/>
      <c r="C28" s="219"/>
      <c r="D28" s="83"/>
      <c r="E28" s="83"/>
      <c r="F28" s="83"/>
      <c r="G28" s="83"/>
      <c r="H28" s="83"/>
      <c r="I28" s="83"/>
      <c r="J28" s="83"/>
      <c r="K28" s="83"/>
      <c r="L28" s="96"/>
      <c r="M28" s="96"/>
      <c r="N28" s="96"/>
      <c r="O28" s="96"/>
      <c r="P28" s="96"/>
      <c r="Q28" s="96"/>
      <c r="R28" s="96"/>
      <c r="S28" s="96"/>
      <c r="T28" s="96"/>
      <c r="U28" s="96"/>
      <c r="V28" s="96"/>
      <c r="W28" s="96"/>
      <c r="X28" s="20"/>
      <c r="Y28" s="20"/>
    </row>
    <row r="29" spans="1:25">
      <c r="A29" s="219"/>
      <c r="B29" s="219"/>
      <c r="C29" s="219"/>
      <c r="D29" s="83"/>
      <c r="E29" s="83"/>
      <c r="F29" s="83"/>
      <c r="G29" s="83"/>
      <c r="H29" s="83"/>
      <c r="I29" s="83"/>
      <c r="J29" s="83"/>
      <c r="K29" s="83"/>
      <c r="L29" s="96"/>
      <c r="M29" s="96"/>
      <c r="N29" s="96"/>
      <c r="O29" s="96"/>
      <c r="P29" s="96"/>
      <c r="Q29" s="96"/>
      <c r="R29" s="96"/>
      <c r="S29" s="96"/>
      <c r="T29" s="96"/>
      <c r="U29" s="96"/>
      <c r="V29" s="96"/>
      <c r="W29" s="96"/>
      <c r="X29" s="20"/>
      <c r="Y29" s="20"/>
    </row>
    <row r="30" spans="1:25">
      <c r="L30" s="20"/>
      <c r="M30" s="20"/>
      <c r="N30" s="20"/>
      <c r="O30" s="20"/>
      <c r="P30" s="20"/>
      <c r="Q30" s="20"/>
      <c r="R30" s="20"/>
      <c r="S30" s="20"/>
      <c r="T30" s="20"/>
      <c r="U30" s="20"/>
      <c r="V30" s="20"/>
      <c r="W30" s="20"/>
      <c r="X30" s="20"/>
      <c r="Y30" s="20"/>
    </row>
    <row r="31" spans="1:25">
      <c r="L31" s="20"/>
      <c r="M31" s="20"/>
      <c r="N31" s="20"/>
      <c r="O31" s="20"/>
      <c r="P31" s="20"/>
      <c r="Q31" s="20"/>
      <c r="R31" s="20"/>
      <c r="S31" s="20"/>
      <c r="T31" s="20"/>
      <c r="U31" s="20"/>
      <c r="V31" s="20"/>
      <c r="W31" s="20"/>
      <c r="X31" s="20"/>
      <c r="Y31" s="20"/>
    </row>
    <row r="32" spans="1:25">
      <c r="L32" s="20"/>
      <c r="M32" s="20"/>
      <c r="N32" s="20"/>
      <c r="O32" s="20"/>
      <c r="P32" s="20"/>
      <c r="Q32" s="20"/>
      <c r="R32" s="20"/>
      <c r="S32" s="20"/>
      <c r="T32" s="20"/>
      <c r="U32" s="20"/>
      <c r="V32" s="20"/>
      <c r="W32" s="20"/>
      <c r="X32" s="20"/>
      <c r="Y32" s="20"/>
    </row>
  </sheetData>
  <pageMargins left="0.31496062992125984" right="0.31496062992125984" top="0.39370078740157483" bottom="0.39370078740157483" header="0.31496062992125984" footer="0.31496062992125984"/>
  <pageSetup paperSize="9" scale="95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80E746-F330-438E-B9FB-B13EEB3E76B9}">
  <dimension ref="A1:Y29"/>
  <sheetViews>
    <sheetView workbookViewId="0">
      <selection activeCell="L30" sqref="L30"/>
    </sheetView>
  </sheetViews>
  <sheetFormatPr defaultColWidth="11.42578125" defaultRowHeight="14.45" outlineLevelRow="2"/>
  <cols>
    <col min="1" max="2" width="7.28515625" customWidth="1"/>
    <col min="3" max="3" width="40.28515625" customWidth="1"/>
    <col min="4" max="5" width="12.140625" hidden="1" customWidth="1"/>
    <col min="6" max="23" width="12.140625" customWidth="1"/>
  </cols>
  <sheetData>
    <row r="1" spans="1:25">
      <c r="A1" s="275" t="s">
        <v>1149</v>
      </c>
      <c r="B1" s="194"/>
      <c r="C1" s="194"/>
      <c r="D1" s="62" t="s">
        <v>622</v>
      </c>
      <c r="E1" s="63" t="s">
        <v>622</v>
      </c>
      <c r="F1" s="62" t="s">
        <v>622</v>
      </c>
      <c r="G1" s="308" t="s">
        <v>622</v>
      </c>
      <c r="H1" s="62" t="s">
        <v>622</v>
      </c>
      <c r="I1" s="308" t="s">
        <v>622</v>
      </c>
      <c r="J1" s="401" t="s">
        <v>622</v>
      </c>
      <c r="K1" s="308" t="s">
        <v>622</v>
      </c>
      <c r="L1" s="195" t="s">
        <v>622</v>
      </c>
      <c r="M1" s="196" t="s">
        <v>622</v>
      </c>
      <c r="N1" s="196" t="s">
        <v>622</v>
      </c>
      <c r="O1" s="196" t="s">
        <v>622</v>
      </c>
      <c r="P1" s="196" t="s">
        <v>622</v>
      </c>
      <c r="Q1" s="196" t="s">
        <v>622</v>
      </c>
      <c r="R1" s="196" t="s">
        <v>622</v>
      </c>
      <c r="S1" s="196" t="s">
        <v>622</v>
      </c>
      <c r="T1" s="196" t="s">
        <v>622</v>
      </c>
      <c r="U1" s="196" t="s">
        <v>622</v>
      </c>
      <c r="V1" s="196" t="s">
        <v>622</v>
      </c>
      <c r="W1" s="63" t="s">
        <v>622</v>
      </c>
    </row>
    <row r="2" spans="1:25">
      <c r="A2" s="197"/>
      <c r="B2" s="22"/>
      <c r="C2" s="22"/>
      <c r="D2" s="67" t="s">
        <v>626</v>
      </c>
      <c r="E2" s="68" t="s">
        <v>626</v>
      </c>
      <c r="F2" s="67" t="s">
        <v>627</v>
      </c>
      <c r="G2" s="309" t="s">
        <v>627</v>
      </c>
      <c r="H2" s="67" t="s">
        <v>627</v>
      </c>
      <c r="I2" s="309" t="s">
        <v>628</v>
      </c>
      <c r="J2" s="279" t="s">
        <v>1101</v>
      </c>
      <c r="K2" s="309" t="s">
        <v>1102</v>
      </c>
      <c r="L2" s="69" t="s">
        <v>1103</v>
      </c>
      <c r="M2" s="69" t="s">
        <v>1103</v>
      </c>
      <c r="N2" s="69" t="s">
        <v>1103</v>
      </c>
      <c r="O2" s="69" t="s">
        <v>1103</v>
      </c>
      <c r="P2" s="69" t="s">
        <v>1103</v>
      </c>
      <c r="Q2" s="69" t="s">
        <v>1103</v>
      </c>
      <c r="R2" s="69" t="s">
        <v>1103</v>
      </c>
      <c r="S2" s="69" t="s">
        <v>1103</v>
      </c>
      <c r="T2" s="69" t="s">
        <v>1103</v>
      </c>
      <c r="U2" s="69" t="s">
        <v>1103</v>
      </c>
      <c r="V2" s="69" t="s">
        <v>1103</v>
      </c>
      <c r="W2" s="69" t="s">
        <v>1103</v>
      </c>
    </row>
    <row r="3" spans="1:25">
      <c r="A3" s="197" t="s">
        <v>1104</v>
      </c>
      <c r="B3" s="22" t="s">
        <v>1105</v>
      </c>
      <c r="C3" s="22"/>
      <c r="D3" s="67" t="s">
        <v>629</v>
      </c>
      <c r="E3" s="70" t="s">
        <v>630</v>
      </c>
      <c r="F3" s="67" t="s">
        <v>629</v>
      </c>
      <c r="G3" s="309" t="s">
        <v>629</v>
      </c>
      <c r="H3" s="67" t="s">
        <v>1106</v>
      </c>
      <c r="I3" s="309" t="s">
        <v>629</v>
      </c>
      <c r="J3" s="279" t="s">
        <v>630</v>
      </c>
      <c r="K3" s="309" t="s">
        <v>629</v>
      </c>
      <c r="L3" s="181" t="s">
        <v>630</v>
      </c>
      <c r="M3" s="71" t="s">
        <v>630</v>
      </c>
      <c r="N3" s="71" t="s">
        <v>630</v>
      </c>
      <c r="O3" s="71" t="s">
        <v>630</v>
      </c>
      <c r="P3" s="71" t="s">
        <v>630</v>
      </c>
      <c r="Q3" s="71" t="s">
        <v>630</v>
      </c>
      <c r="R3" s="71" t="s">
        <v>630</v>
      </c>
      <c r="S3" s="71" t="s">
        <v>630</v>
      </c>
      <c r="T3" s="71" t="s">
        <v>630</v>
      </c>
      <c r="U3" s="71" t="s">
        <v>630</v>
      </c>
      <c r="V3" s="71" t="s">
        <v>630</v>
      </c>
      <c r="W3" s="70" t="s">
        <v>630</v>
      </c>
    </row>
    <row r="4" spans="1:25" ht="31.15" thickBot="1">
      <c r="A4" s="198" t="s">
        <v>632</v>
      </c>
      <c r="B4" s="76"/>
      <c r="C4" s="76" t="s">
        <v>633</v>
      </c>
      <c r="D4" s="72" t="s">
        <v>634</v>
      </c>
      <c r="E4" s="73">
        <v>45199</v>
      </c>
      <c r="F4" s="72" t="s">
        <v>637</v>
      </c>
      <c r="G4" s="330" t="s">
        <v>1108</v>
      </c>
      <c r="H4" s="72">
        <v>45565</v>
      </c>
      <c r="I4" s="310" t="s">
        <v>1109</v>
      </c>
      <c r="J4" s="402">
        <v>45930</v>
      </c>
      <c r="K4" s="409" t="s">
        <v>1110</v>
      </c>
      <c r="L4" s="905">
        <v>45961</v>
      </c>
      <c r="M4" s="906">
        <v>45991</v>
      </c>
      <c r="N4" s="906">
        <v>46022</v>
      </c>
      <c r="O4" s="906">
        <v>46053</v>
      </c>
      <c r="P4" s="906">
        <v>46081</v>
      </c>
      <c r="Q4" s="905">
        <v>46112</v>
      </c>
      <c r="R4" s="906">
        <v>46142</v>
      </c>
      <c r="S4" s="906">
        <v>46173</v>
      </c>
      <c r="T4" s="906">
        <v>46203</v>
      </c>
      <c r="U4" s="906">
        <v>46234</v>
      </c>
      <c r="V4" s="905">
        <v>46265</v>
      </c>
      <c r="W4" s="906">
        <v>46295</v>
      </c>
    </row>
    <row r="5" spans="1:25" ht="15" thickBot="1">
      <c r="A5" s="240"/>
      <c r="B5" s="241"/>
      <c r="C5" s="242" t="s">
        <v>652</v>
      </c>
      <c r="D5" s="232"/>
      <c r="E5" s="233"/>
      <c r="F5" s="234"/>
      <c r="G5" s="234"/>
      <c r="H5" s="373"/>
      <c r="I5" s="373"/>
      <c r="J5" s="369"/>
      <c r="K5" s="234"/>
      <c r="L5" s="235"/>
      <c r="M5" s="236"/>
      <c r="N5" s="236"/>
      <c r="O5" s="236"/>
      <c r="P5" s="236"/>
      <c r="Q5" s="236"/>
      <c r="R5" s="236"/>
      <c r="S5" s="236"/>
      <c r="T5" s="236"/>
      <c r="U5" s="236"/>
      <c r="V5" s="236"/>
      <c r="W5" s="237"/>
      <c r="X5" s="20"/>
      <c r="Y5" s="20"/>
    </row>
    <row r="6" spans="1:25" outlineLevel="2">
      <c r="A6" s="907" t="s">
        <v>97</v>
      </c>
      <c r="B6" s="908" t="s">
        <v>58</v>
      </c>
      <c r="C6" s="909" t="s">
        <v>1123</v>
      </c>
      <c r="D6" s="910">
        <f>Haushalt!G42</f>
        <v>19572.5</v>
      </c>
      <c r="E6" s="911">
        <f>Fachschaften_Gesamt!E18</f>
        <v>7685</v>
      </c>
      <c r="F6" s="910">
        <f>Haushalt!I42</f>
        <v>15500</v>
      </c>
      <c r="G6" s="910" t="e">
        <f>Haushalt!#REF!</f>
        <v>#REF!</v>
      </c>
      <c r="H6" s="910">
        <v>7230</v>
      </c>
      <c r="I6" s="910">
        <v>13000</v>
      </c>
      <c r="J6" s="367">
        <v>11385</v>
      </c>
      <c r="K6" s="910">
        <f>Fachschaften_Gesamt!K18</f>
        <v>13000</v>
      </c>
      <c r="L6" s="912">
        <f>Fachschaften_Gesamt!L18</f>
        <v>2080</v>
      </c>
      <c r="M6" s="912">
        <f>Fachschaften_Gesamt!M18</f>
        <v>3015</v>
      </c>
      <c r="N6" s="912">
        <f>Fachschaften_Gesamt!N18</f>
        <v>3180</v>
      </c>
      <c r="O6" s="912">
        <f>Fachschaften_Gesamt!O18</f>
        <v>3180</v>
      </c>
      <c r="P6" s="912">
        <f>Fachschaften_Gesamt!P18</f>
        <v>3180</v>
      </c>
      <c r="Q6" s="912">
        <f>Fachschaften_Gesamt!Q18</f>
        <v>5880</v>
      </c>
      <c r="R6" s="912">
        <f>Fachschaften_Gesamt!R18</f>
        <v>6055</v>
      </c>
      <c r="S6" s="912">
        <f>Fachschaften_Gesamt!S18</f>
        <v>7550</v>
      </c>
      <c r="T6" s="912">
        <f>Fachschaften_Gesamt!T18</f>
        <v>7715</v>
      </c>
      <c r="U6" s="912" t="e">
        <f>Fachschaften_Gesamt!U18</f>
        <v>#REF!</v>
      </c>
      <c r="V6" s="912" t="e">
        <f>Fachschaften_Gesamt!V18</f>
        <v>#REF!</v>
      </c>
      <c r="W6" s="912" t="e">
        <f>Fachschaften_Gesamt!W18</f>
        <v>#REF!</v>
      </c>
      <c r="X6" s="20"/>
      <c r="Y6" s="20"/>
    </row>
    <row r="7" spans="1:25" outlineLevel="2">
      <c r="A7" s="960" t="s">
        <v>105</v>
      </c>
      <c r="B7" s="961"/>
      <c r="C7" s="962" t="s">
        <v>1124</v>
      </c>
      <c r="D7" s="963">
        <f>Haushalt!G49</f>
        <v>0</v>
      </c>
      <c r="E7" s="963"/>
      <c r="F7" s="963">
        <f>Haushalt!I49</f>
        <v>0</v>
      </c>
      <c r="G7" s="963" t="e">
        <f>Haushalt!#REF!</f>
        <v>#REF!</v>
      </c>
      <c r="H7" s="963"/>
      <c r="I7" s="963"/>
      <c r="J7" s="964"/>
      <c r="K7" s="963">
        <f>Fachschaften_Gesamt!K19</f>
        <v>0</v>
      </c>
      <c r="L7" s="965"/>
      <c r="M7" s="966"/>
      <c r="N7" s="966"/>
      <c r="O7" s="966"/>
      <c r="P7" s="966"/>
      <c r="Q7" s="966"/>
      <c r="R7" s="966"/>
      <c r="S7" s="966"/>
      <c r="T7" s="966"/>
      <c r="U7" s="966"/>
      <c r="V7" s="966"/>
      <c r="W7" s="966"/>
      <c r="X7" s="20"/>
      <c r="Y7" s="20"/>
    </row>
    <row r="8" spans="1:25" ht="15" outlineLevel="2" thickBot="1">
      <c r="A8" s="231" t="s">
        <v>112</v>
      </c>
      <c r="B8" s="227"/>
      <c r="C8" s="199" t="s">
        <v>1125</v>
      </c>
      <c r="D8" s="228">
        <f>Haushalt!G56</f>
        <v>0</v>
      </c>
      <c r="E8" s="228"/>
      <c r="F8" s="228">
        <f>Haushalt!I56</f>
        <v>0</v>
      </c>
      <c r="G8" s="228" t="e">
        <f>Haushalt!#REF!</f>
        <v>#REF!</v>
      </c>
      <c r="H8" s="228"/>
      <c r="I8" s="228"/>
      <c r="J8" s="368"/>
      <c r="K8" s="228">
        <f>Fachschaften_Gesamt!K20</f>
        <v>0</v>
      </c>
      <c r="L8" s="229"/>
      <c r="M8" s="230"/>
      <c r="N8" s="230"/>
      <c r="O8" s="230"/>
      <c r="P8" s="230"/>
      <c r="Q8" s="230"/>
      <c r="R8" s="230"/>
      <c r="S8" s="230"/>
      <c r="T8" s="230"/>
      <c r="U8" s="230"/>
      <c r="V8" s="230"/>
      <c r="W8" s="230"/>
      <c r="X8" s="20"/>
      <c r="Y8" s="20"/>
    </row>
    <row r="9" spans="1:25" ht="15" thickBot="1">
      <c r="A9" s="200"/>
      <c r="B9" s="201"/>
      <c r="C9" s="202" t="s">
        <v>1126</v>
      </c>
      <c r="D9" s="224">
        <f t="shared" ref="D9:W9" si="0">SUM(D6:D8)</f>
        <v>19572.5</v>
      </c>
      <c r="E9" s="203">
        <f t="shared" si="0"/>
        <v>7685</v>
      </c>
      <c r="F9" s="224">
        <f t="shared" si="0"/>
        <v>15500</v>
      </c>
      <c r="G9" s="224" t="e">
        <f t="shared" ref="G9:I9" si="1">SUM(G6:G8)</f>
        <v>#REF!</v>
      </c>
      <c r="H9" s="224">
        <f t="shared" si="1"/>
        <v>7230</v>
      </c>
      <c r="I9" s="224">
        <f t="shared" si="1"/>
        <v>13000</v>
      </c>
      <c r="J9" s="410">
        <v>11385</v>
      </c>
      <c r="K9" s="224">
        <f>SUM(K6:K8)</f>
        <v>13000</v>
      </c>
      <c r="L9" s="204">
        <f t="shared" si="0"/>
        <v>2080</v>
      </c>
      <c r="M9" s="205">
        <f t="shared" si="0"/>
        <v>3015</v>
      </c>
      <c r="N9" s="205">
        <f t="shared" si="0"/>
        <v>3180</v>
      </c>
      <c r="O9" s="205">
        <f t="shared" si="0"/>
        <v>3180</v>
      </c>
      <c r="P9" s="205">
        <f t="shared" si="0"/>
        <v>3180</v>
      </c>
      <c r="Q9" s="205">
        <f t="shared" si="0"/>
        <v>5880</v>
      </c>
      <c r="R9" s="205">
        <f t="shared" si="0"/>
        <v>6055</v>
      </c>
      <c r="S9" s="205">
        <f t="shared" si="0"/>
        <v>7550</v>
      </c>
      <c r="T9" s="205">
        <f t="shared" si="0"/>
        <v>7715</v>
      </c>
      <c r="U9" s="205" t="e">
        <f t="shared" ref="U9" si="2">SUM(U6:U8)</f>
        <v>#REF!</v>
      </c>
      <c r="V9" s="205" t="e">
        <f t="shared" si="0"/>
        <v>#REF!</v>
      </c>
      <c r="W9" s="205" t="e">
        <f t="shared" si="0"/>
        <v>#REF!</v>
      </c>
      <c r="X9" s="20"/>
      <c r="Y9" s="20"/>
    </row>
    <row r="10" spans="1:25">
      <c r="A10" s="22"/>
      <c r="B10" s="22"/>
      <c r="C10" s="22"/>
      <c r="D10" s="206"/>
      <c r="E10" s="207"/>
      <c r="F10" s="206"/>
      <c r="G10" s="206"/>
      <c r="H10" s="206"/>
      <c r="I10" s="206"/>
      <c r="J10" s="206"/>
      <c r="K10" s="206"/>
      <c r="L10" s="90"/>
      <c r="M10" s="90"/>
      <c r="N10" s="90"/>
      <c r="O10" s="90"/>
      <c r="P10" s="90"/>
      <c r="Q10" s="90"/>
      <c r="R10" s="90"/>
      <c r="S10" s="90"/>
      <c r="T10" s="90"/>
      <c r="U10" s="90"/>
      <c r="V10" s="90"/>
      <c r="W10" s="208"/>
      <c r="X10" s="20"/>
      <c r="Y10" s="20"/>
    </row>
    <row r="11" spans="1:25" ht="15" thickBot="1">
      <c r="A11" s="219"/>
      <c r="B11" s="219"/>
      <c r="C11" s="219"/>
      <c r="D11" s="83"/>
      <c r="E11" s="83"/>
      <c r="F11" s="83"/>
      <c r="G11" s="83"/>
      <c r="H11" s="83"/>
      <c r="I11" s="83"/>
      <c r="J11" s="83"/>
      <c r="K11" s="83"/>
      <c r="L11" s="96"/>
      <c r="M11" s="96"/>
      <c r="N11" s="96"/>
      <c r="O11" s="96"/>
      <c r="P11" s="96"/>
      <c r="Q11" s="96"/>
      <c r="R11" s="96"/>
      <c r="S11" s="96"/>
      <c r="T11" s="96"/>
      <c r="U11" s="96"/>
      <c r="V11" s="96"/>
      <c r="W11" s="96"/>
      <c r="X11" s="20"/>
      <c r="Y11" s="20"/>
    </row>
    <row r="12" spans="1:25" ht="15" thickBot="1">
      <c r="A12" s="238" t="s">
        <v>1043</v>
      </c>
      <c r="B12" s="239"/>
      <c r="C12" s="243" t="s">
        <v>1044</v>
      </c>
      <c r="D12" s="83"/>
      <c r="E12" s="96"/>
      <c r="F12" s="83"/>
      <c r="G12" s="83"/>
      <c r="H12" s="83"/>
      <c r="I12" s="83"/>
      <c r="J12" s="83"/>
      <c r="K12" s="83"/>
      <c r="L12" s="96"/>
      <c r="M12" s="96"/>
      <c r="N12" s="96"/>
      <c r="O12" s="96"/>
      <c r="P12" s="96"/>
      <c r="Q12" s="96"/>
      <c r="R12" s="96"/>
      <c r="S12" s="96"/>
      <c r="T12" s="96"/>
      <c r="U12" s="96"/>
      <c r="V12" s="90"/>
      <c r="W12" s="96"/>
      <c r="X12" s="20"/>
      <c r="Y12" s="20"/>
    </row>
    <row r="13" spans="1:25" outlineLevel="2">
      <c r="A13" s="891" t="s">
        <v>157</v>
      </c>
      <c r="B13" s="891" t="s">
        <v>1045</v>
      </c>
      <c r="C13" s="967" t="s">
        <v>1127</v>
      </c>
      <c r="D13" s="225">
        <f>Haushalt!G87/5</f>
        <v>9600</v>
      </c>
      <c r="E13" s="268">
        <f>Fachschaften_Gesamt!E96</f>
        <v>9600</v>
      </c>
      <c r="F13" s="225">
        <f>Haushalt!I87/5</f>
        <v>9600</v>
      </c>
      <c r="G13" s="225" t="e">
        <f>Haushalt!#REF!/5</f>
        <v>#REF!</v>
      </c>
      <c r="H13" s="357">
        <v>9600</v>
      </c>
      <c r="I13" s="356">
        <v>9600</v>
      </c>
      <c r="J13" s="404">
        <v>8640</v>
      </c>
      <c r="K13" s="225">
        <f>Fachschaften_Gesamt!K96</f>
        <v>9600</v>
      </c>
      <c r="L13" s="298">
        <f>Fachschaften_Gesamt!L96</f>
        <v>0</v>
      </c>
      <c r="M13" s="298">
        <f>Fachschaften_Gesamt!M96</f>
        <v>0</v>
      </c>
      <c r="N13" s="298">
        <f>Fachschaften_Gesamt!N96</f>
        <v>0</v>
      </c>
      <c r="O13" s="298">
        <f>Fachschaften_Gesamt!O96</f>
        <v>0</v>
      </c>
      <c r="P13" s="298">
        <f>Fachschaften_Gesamt!P96</f>
        <v>0</v>
      </c>
      <c r="Q13" s="298">
        <f>Fachschaften_Gesamt!Q96</f>
        <v>0</v>
      </c>
      <c r="R13" s="298">
        <f>Fachschaften_Gesamt!R96</f>
        <v>0</v>
      </c>
      <c r="S13" s="298">
        <f>Fachschaften_Gesamt!S96</f>
        <v>0</v>
      </c>
      <c r="T13" s="298">
        <f>Fachschaften_Gesamt!T96</f>
        <v>0</v>
      </c>
      <c r="U13" s="298">
        <f>Fachschaften_Gesamt!U96</f>
        <v>0</v>
      </c>
      <c r="V13" s="298">
        <f>Fachschaften_Gesamt!V96</f>
        <v>0</v>
      </c>
      <c r="W13" s="298">
        <f>Fachschaften_Gesamt!W96</f>
        <v>0</v>
      </c>
      <c r="X13" s="20"/>
      <c r="Y13" s="20"/>
    </row>
    <row r="14" spans="1:25" outlineLevel="2">
      <c r="A14" s="968" t="s">
        <v>174</v>
      </c>
      <c r="B14" s="968" t="s">
        <v>1045</v>
      </c>
      <c r="C14" s="967" t="s">
        <v>1128</v>
      </c>
      <c r="D14" s="969">
        <f>Tabelle1[[#This Row],[SOLL HHJ 23-24
SP 11.11.2023]]</f>
        <v>500</v>
      </c>
      <c r="E14" s="970">
        <f>Fachschaften_Gesamt!E97</f>
        <v>240</v>
      </c>
      <c r="F14" s="969">
        <f>Haushalt!I93</f>
        <v>2400</v>
      </c>
      <c r="G14" s="969" t="e">
        <f>Haushalt!#REF!</f>
        <v>#REF!</v>
      </c>
      <c r="H14" s="917">
        <v>1005</v>
      </c>
      <c r="I14" s="971">
        <v>2004</v>
      </c>
      <c r="J14" s="972">
        <v>845</v>
      </c>
      <c r="K14" s="969">
        <f>Fachschaften_Gesamt!K97</f>
        <v>2400</v>
      </c>
      <c r="L14" s="965">
        <f>Haushalt!O93</f>
        <v>0</v>
      </c>
      <c r="M14" s="965">
        <f>Haushalt!P93</f>
        <v>0</v>
      </c>
      <c r="N14" s="965">
        <f>Haushalt!Q93</f>
        <v>0</v>
      </c>
      <c r="O14" s="965">
        <f>Haushalt!R93</f>
        <v>0</v>
      </c>
      <c r="P14" s="965">
        <f>Haushalt!S93</f>
        <v>185</v>
      </c>
      <c r="Q14" s="965">
        <f>Haushalt!T93</f>
        <v>185</v>
      </c>
      <c r="R14" s="965">
        <f>Haushalt!U93</f>
        <v>185</v>
      </c>
      <c r="S14" s="965">
        <f>Haushalt!V93</f>
        <v>435</v>
      </c>
      <c r="T14" s="965">
        <f>Haushalt!W93</f>
        <v>615</v>
      </c>
      <c r="U14" s="965"/>
      <c r="V14" s="965"/>
      <c r="W14" s="965">
        <f>Fachschaften_Gesamt!W97</f>
        <v>0</v>
      </c>
      <c r="X14" s="20"/>
      <c r="Y14" s="20"/>
    </row>
    <row r="15" spans="1:25" outlineLevel="2">
      <c r="A15" s="968" t="s">
        <v>283</v>
      </c>
      <c r="B15" s="968" t="s">
        <v>284</v>
      </c>
      <c r="C15" s="973" t="s">
        <v>1129</v>
      </c>
      <c r="D15" s="969">
        <f>Haushalt!G141</f>
        <v>2000</v>
      </c>
      <c r="E15" s="970">
        <f>Fachschaften_Gesamt!E98</f>
        <v>180.7</v>
      </c>
      <c r="F15" s="969">
        <f>Haushalt!I141</f>
        <v>6000</v>
      </c>
      <c r="G15" s="969" t="e">
        <f>Haushalt!#REF!</f>
        <v>#REF!</v>
      </c>
      <c r="H15" s="917">
        <v>628.63</v>
      </c>
      <c r="I15" s="971">
        <v>3000</v>
      </c>
      <c r="J15" s="972">
        <v>120</v>
      </c>
      <c r="K15" s="969">
        <f>Fachschaften_Gesamt!K98</f>
        <v>3000</v>
      </c>
      <c r="L15" s="965">
        <f>Fachschaften_Gesamt!L98</f>
        <v>0</v>
      </c>
      <c r="M15" s="965">
        <f>Fachschaften_Gesamt!M98</f>
        <v>0</v>
      </c>
      <c r="N15" s="965">
        <f>Fachschaften_Gesamt!N98</f>
        <v>0</v>
      </c>
      <c r="O15" s="965">
        <f>Fachschaften_Gesamt!O98</f>
        <v>61</v>
      </c>
      <c r="P15" s="965">
        <f>Fachschaften_Gesamt!P98</f>
        <v>469.43</v>
      </c>
      <c r="Q15" s="965">
        <f>Fachschaften_Gesamt!Q98</f>
        <v>469.43</v>
      </c>
      <c r="R15" s="965">
        <f>Fachschaften_Gesamt!R98</f>
        <v>469.43</v>
      </c>
      <c r="S15" s="965">
        <f>Fachschaften_Gesamt!S98</f>
        <v>798.73</v>
      </c>
      <c r="T15" s="965">
        <f>Fachschaften_Gesamt!T98</f>
        <v>1089.83</v>
      </c>
      <c r="U15" s="965" t="e">
        <f>Fachschaften_Gesamt!U98</f>
        <v>#REF!</v>
      </c>
      <c r="V15" s="965" t="e">
        <f>Fachschaften_Gesamt!V98</f>
        <v>#REF!</v>
      </c>
      <c r="W15" s="965" t="e">
        <f>Fachschaften_Gesamt!W98</f>
        <v>#REF!</v>
      </c>
      <c r="X15" s="20"/>
      <c r="Y15" s="20"/>
    </row>
    <row r="16" spans="1:25" outlineLevel="2">
      <c r="A16" s="968" t="s">
        <v>311</v>
      </c>
      <c r="B16" s="968" t="s">
        <v>312</v>
      </c>
      <c r="C16" s="967" t="s">
        <v>1130</v>
      </c>
      <c r="D16" s="969">
        <f>Haushalt!G153</f>
        <v>1150</v>
      </c>
      <c r="E16" s="970">
        <f>Fachschaften_Gesamt!E99</f>
        <v>0</v>
      </c>
      <c r="F16" s="969">
        <f>Haushalt!I153</f>
        <v>1500</v>
      </c>
      <c r="G16" s="969" t="e">
        <f>Haushalt!#REF!</f>
        <v>#REF!</v>
      </c>
      <c r="H16" s="917">
        <v>324</v>
      </c>
      <c r="I16" s="971">
        <v>1500</v>
      </c>
      <c r="J16" s="972">
        <v>2055.15</v>
      </c>
      <c r="K16" s="969">
        <f>Fachschaften_Gesamt!K99</f>
        <v>1500</v>
      </c>
      <c r="L16" s="965">
        <f>Fachschaften_Gesamt!L99</f>
        <v>134.32</v>
      </c>
      <c r="M16" s="965">
        <f>Fachschaften_Gesamt!M99</f>
        <v>268.64</v>
      </c>
      <c r="N16" s="965">
        <f>Fachschaften_Gesamt!N99</f>
        <v>402.96</v>
      </c>
      <c r="O16" s="965">
        <f>Fachschaften_Gesamt!O99</f>
        <v>537.28</v>
      </c>
      <c r="P16" s="965">
        <f>Fachschaften_Gesamt!P99</f>
        <v>919.40000000000009</v>
      </c>
      <c r="Q16" s="965">
        <f>Fachschaften_Gesamt!Q99</f>
        <v>1053.72</v>
      </c>
      <c r="R16" s="965">
        <f>Fachschaften_Gesamt!R99</f>
        <v>1188.04</v>
      </c>
      <c r="S16" s="965">
        <f>Fachschaften_Gesamt!S99</f>
        <v>1322.36</v>
      </c>
      <c r="T16" s="965">
        <f>Fachschaften_Gesamt!T99</f>
        <v>1611.0500000000002</v>
      </c>
      <c r="U16" s="965" t="e">
        <f>Fachschaften_Gesamt!U99</f>
        <v>#REF!</v>
      </c>
      <c r="V16" s="965" t="e">
        <f>Fachschaften_Gesamt!V99</f>
        <v>#REF!</v>
      </c>
      <c r="W16" s="965" t="e">
        <f>Fachschaften_Gesamt!W99</f>
        <v>#REF!</v>
      </c>
      <c r="X16" s="20"/>
      <c r="Y16" s="20"/>
    </row>
    <row r="17" spans="1:25" outlineLevel="2">
      <c r="A17" s="968" t="s">
        <v>333</v>
      </c>
      <c r="B17" s="968" t="s">
        <v>334</v>
      </c>
      <c r="C17" s="974" t="s">
        <v>1131</v>
      </c>
      <c r="D17" s="969">
        <f>Haushalt!G165</f>
        <v>650</v>
      </c>
      <c r="E17" s="970">
        <f>Fachschaften_Gesamt!E100</f>
        <v>0</v>
      </c>
      <c r="F17" s="969">
        <f>Haushalt!I165</f>
        <v>250</v>
      </c>
      <c r="G17" s="969" t="e">
        <f>Haushalt!#REF!</f>
        <v>#REF!</v>
      </c>
      <c r="H17" s="917">
        <v>179.38</v>
      </c>
      <c r="I17" s="971">
        <v>500</v>
      </c>
      <c r="J17" s="972">
        <v>0</v>
      </c>
      <c r="K17" s="969">
        <f>Fachschaften_Gesamt!K100</f>
        <v>500</v>
      </c>
      <c r="L17" s="965">
        <f>Fachschaften_Gesamt!L100</f>
        <v>0</v>
      </c>
      <c r="M17" s="965">
        <f>Fachschaften_Gesamt!M100</f>
        <v>0</v>
      </c>
      <c r="N17" s="965">
        <f>Fachschaften_Gesamt!N100</f>
        <v>0</v>
      </c>
      <c r="O17" s="965">
        <f>Fachschaften_Gesamt!O100</f>
        <v>0</v>
      </c>
      <c r="P17" s="965">
        <f>Fachschaften_Gesamt!P100</f>
        <v>0</v>
      </c>
      <c r="Q17" s="965">
        <f>Fachschaften_Gesamt!Q100</f>
        <v>0</v>
      </c>
      <c r="R17" s="965">
        <f>Fachschaften_Gesamt!R100</f>
        <v>0</v>
      </c>
      <c r="S17" s="965">
        <f>Fachschaften_Gesamt!S100</f>
        <v>0</v>
      </c>
      <c r="T17" s="965">
        <f>Fachschaften_Gesamt!T100</f>
        <v>5.45</v>
      </c>
      <c r="U17" s="965" t="e">
        <f>Fachschaften_Gesamt!U100</f>
        <v>#REF!</v>
      </c>
      <c r="V17" s="965" t="e">
        <f>Fachschaften_Gesamt!V100</f>
        <v>#REF!</v>
      </c>
      <c r="W17" s="965" t="e">
        <f>Fachschaften_Gesamt!W100</f>
        <v>#REF!</v>
      </c>
      <c r="X17" s="20"/>
      <c r="Y17" s="20"/>
    </row>
    <row r="18" spans="1:25" outlineLevel="2">
      <c r="A18" s="968" t="s">
        <v>379</v>
      </c>
      <c r="B18" s="968" t="s">
        <v>1049</v>
      </c>
      <c r="C18" s="975" t="s">
        <v>1132</v>
      </c>
      <c r="D18" s="969">
        <f>Haushalt!G189</f>
        <v>17200</v>
      </c>
      <c r="E18" s="970">
        <f>Fachschaften_Gesamt!E101</f>
        <v>6710</v>
      </c>
      <c r="F18" s="969">
        <f>Haushalt!I189</f>
        <v>15000</v>
      </c>
      <c r="G18" s="969" t="e">
        <f>Haushalt!#REF!</f>
        <v>#REF!</v>
      </c>
      <c r="H18" s="917">
        <v>4620</v>
      </c>
      <c r="I18" s="971">
        <v>13000</v>
      </c>
      <c r="J18" s="972">
        <v>5280</v>
      </c>
      <c r="K18" s="969">
        <f>Fachschaften_Gesamt!K101</f>
        <v>13000</v>
      </c>
      <c r="L18" s="965">
        <f>Fachschaften_Gesamt!L101</f>
        <v>2640</v>
      </c>
      <c r="M18" s="965">
        <f>Fachschaften_Gesamt!M101</f>
        <v>2640</v>
      </c>
      <c r="N18" s="965">
        <f>Fachschaften_Gesamt!N101</f>
        <v>4840</v>
      </c>
      <c r="O18" s="965">
        <f>Fachschaften_Gesamt!O101</f>
        <v>4840</v>
      </c>
      <c r="P18" s="965">
        <f>Fachschaften_Gesamt!P101</f>
        <v>4840</v>
      </c>
      <c r="Q18" s="965">
        <f>Fachschaften_Gesamt!Q101</f>
        <v>4840</v>
      </c>
      <c r="R18" s="965">
        <f>Fachschaften_Gesamt!R101</f>
        <v>4840</v>
      </c>
      <c r="S18" s="965">
        <f>Fachschaften_Gesamt!S101</f>
        <v>7370</v>
      </c>
      <c r="T18" s="965">
        <f>Fachschaften_Gesamt!T101</f>
        <v>7370</v>
      </c>
      <c r="U18" s="965" t="e">
        <f>Fachschaften_Gesamt!U101</f>
        <v>#REF!</v>
      </c>
      <c r="V18" s="965" t="e">
        <f>Fachschaften_Gesamt!V101</f>
        <v>#REF!</v>
      </c>
      <c r="W18" s="965" t="e">
        <f>Fachschaften_Gesamt!W101</f>
        <v>#REF!</v>
      </c>
      <c r="X18" s="20"/>
      <c r="Y18" s="20"/>
    </row>
    <row r="19" spans="1:25" outlineLevel="2">
      <c r="A19" s="968" t="s">
        <v>390</v>
      </c>
      <c r="B19" s="968" t="s">
        <v>1049</v>
      </c>
      <c r="C19" s="967" t="s">
        <v>354</v>
      </c>
      <c r="D19" s="969">
        <f>Haushalt!G195</f>
        <v>1000</v>
      </c>
      <c r="E19" s="970"/>
      <c r="F19" s="969">
        <f>Haushalt!I195</f>
        <v>0</v>
      </c>
      <c r="G19" s="969" t="e">
        <f>Haushalt!#REF!</f>
        <v>#REF!</v>
      </c>
      <c r="H19" s="917">
        <v>990</v>
      </c>
      <c r="I19" s="971">
        <v>1000</v>
      </c>
      <c r="J19" s="972">
        <v>0</v>
      </c>
      <c r="K19" s="969">
        <f>Fachschaften_Gesamt!K102</f>
        <v>1000</v>
      </c>
      <c r="L19" s="965">
        <f>Fachschaften_Gesamt!L102</f>
        <v>0</v>
      </c>
      <c r="M19" s="965">
        <f>Fachschaften_Gesamt!M102</f>
        <v>0</v>
      </c>
      <c r="N19" s="965">
        <f>Fachschaften_Gesamt!N102</f>
        <v>0</v>
      </c>
      <c r="O19" s="965">
        <f>Fachschaften_Gesamt!O102</f>
        <v>0</v>
      </c>
      <c r="P19" s="965">
        <f>Fachschaften_Gesamt!P102</f>
        <v>0</v>
      </c>
      <c r="Q19" s="965">
        <f>Fachschaften_Gesamt!Q102</f>
        <v>0</v>
      </c>
      <c r="R19" s="965">
        <f>Fachschaften_Gesamt!R102</f>
        <v>0</v>
      </c>
      <c r="S19" s="965">
        <f>Fachschaften_Gesamt!S102</f>
        <v>0</v>
      </c>
      <c r="T19" s="965">
        <f>Fachschaften_Gesamt!T102</f>
        <v>0</v>
      </c>
      <c r="U19" s="965" t="e">
        <f>Fachschaften_Gesamt!U102</f>
        <v>#REF!</v>
      </c>
      <c r="V19" s="965" t="e">
        <f>Fachschaften_Gesamt!V102</f>
        <v>#REF!</v>
      </c>
      <c r="W19" s="965" t="e">
        <f>Fachschaften_Gesamt!W102</f>
        <v>#REF!</v>
      </c>
      <c r="X19" s="20"/>
      <c r="Y19" s="20"/>
    </row>
    <row r="20" spans="1:25" outlineLevel="2">
      <c r="A20" s="968" t="s">
        <v>397</v>
      </c>
      <c r="B20" s="968" t="s">
        <v>1049</v>
      </c>
      <c r="C20" s="967" t="s">
        <v>1133</v>
      </c>
      <c r="D20" s="969">
        <f>Haushalt!G201</f>
        <v>200</v>
      </c>
      <c r="E20" s="970"/>
      <c r="F20" s="969">
        <f>Haushalt!I201</f>
        <v>0</v>
      </c>
      <c r="G20" s="969" t="e">
        <f>Haushalt!#REF!</f>
        <v>#REF!</v>
      </c>
      <c r="H20" s="917">
        <v>990</v>
      </c>
      <c r="I20" s="971">
        <v>300</v>
      </c>
      <c r="J20" s="972">
        <v>0</v>
      </c>
      <c r="K20" s="969">
        <f>Fachschaften_Gesamt!K103</f>
        <v>300</v>
      </c>
      <c r="L20" s="965">
        <f>Fachschaften_Gesamt!L103</f>
        <v>0</v>
      </c>
      <c r="M20" s="965">
        <f>Fachschaften_Gesamt!M103</f>
        <v>0</v>
      </c>
      <c r="N20" s="965">
        <f>Fachschaften_Gesamt!N103</f>
        <v>0</v>
      </c>
      <c r="O20" s="965">
        <f>Fachschaften_Gesamt!O103</f>
        <v>0</v>
      </c>
      <c r="P20" s="965">
        <f>Fachschaften_Gesamt!P103</f>
        <v>0</v>
      </c>
      <c r="Q20" s="965">
        <f>Fachschaften_Gesamt!Q103</f>
        <v>0</v>
      </c>
      <c r="R20" s="965">
        <f>Fachschaften_Gesamt!R103</f>
        <v>0</v>
      </c>
      <c r="S20" s="965">
        <f>Fachschaften_Gesamt!S103</f>
        <v>0</v>
      </c>
      <c r="T20" s="965">
        <f>Fachschaften_Gesamt!T103</f>
        <v>0</v>
      </c>
      <c r="U20" s="965" t="e">
        <f>Fachschaften_Gesamt!U103</f>
        <v>#REF!</v>
      </c>
      <c r="V20" s="965" t="e">
        <f>Fachschaften_Gesamt!V103</f>
        <v>#REF!</v>
      </c>
      <c r="W20" s="965" t="e">
        <f>Fachschaften_Gesamt!W103</f>
        <v>#REF!</v>
      </c>
      <c r="X20" s="20"/>
      <c r="Y20" s="20"/>
    </row>
    <row r="21" spans="1:25" outlineLevel="2">
      <c r="A21" s="976" t="s">
        <v>408</v>
      </c>
      <c r="B21" s="976" t="s">
        <v>409</v>
      </c>
      <c r="C21" s="977" t="s">
        <v>399</v>
      </c>
      <c r="D21" s="969">
        <f>Haushalt!G207</f>
        <v>250</v>
      </c>
      <c r="E21" s="970">
        <f>Fachschaften_Gesamt!E104</f>
        <v>0</v>
      </c>
      <c r="F21" s="969">
        <f>Haushalt!I207</f>
        <v>250</v>
      </c>
      <c r="G21" s="969" t="e">
        <f>Haushalt!#REF!</f>
        <v>#REF!</v>
      </c>
      <c r="H21" s="917">
        <v>0</v>
      </c>
      <c r="I21" s="971">
        <v>300</v>
      </c>
      <c r="J21" s="972">
        <v>0</v>
      </c>
      <c r="K21" s="969">
        <f>Fachschaften_Gesamt!K104</f>
        <v>300</v>
      </c>
      <c r="L21" s="965">
        <f>Fachschaften_Gesamt!L104</f>
        <v>0</v>
      </c>
      <c r="M21" s="965">
        <f>Fachschaften_Gesamt!M104</f>
        <v>0</v>
      </c>
      <c r="N21" s="965">
        <f>Fachschaften_Gesamt!N104</f>
        <v>0</v>
      </c>
      <c r="O21" s="965">
        <f>Fachschaften_Gesamt!O104</f>
        <v>0</v>
      </c>
      <c r="P21" s="965">
        <f>Fachschaften_Gesamt!P104</f>
        <v>0</v>
      </c>
      <c r="Q21" s="965">
        <f>Fachschaften_Gesamt!Q104</f>
        <v>0</v>
      </c>
      <c r="R21" s="965">
        <f>Fachschaften_Gesamt!R104</f>
        <v>0</v>
      </c>
      <c r="S21" s="965">
        <f>Fachschaften_Gesamt!S104</f>
        <v>0</v>
      </c>
      <c r="T21" s="965">
        <f>Fachschaften_Gesamt!T104</f>
        <v>0</v>
      </c>
      <c r="U21" s="965" t="e">
        <f>Fachschaften_Gesamt!U104</f>
        <v>#REF!</v>
      </c>
      <c r="V21" s="965" t="e">
        <f>Fachschaften_Gesamt!V104</f>
        <v>#REF!</v>
      </c>
      <c r="W21" s="965" t="e">
        <f>Fachschaften_Gesamt!W104</f>
        <v>#REF!</v>
      </c>
      <c r="X21" s="20"/>
      <c r="Y21" s="20"/>
    </row>
    <row r="22" spans="1:25" outlineLevel="2">
      <c r="A22" s="976" t="s">
        <v>420</v>
      </c>
      <c r="B22" s="976" t="s">
        <v>421</v>
      </c>
      <c r="C22" s="977" t="s">
        <v>1134</v>
      </c>
      <c r="D22" s="969">
        <f>Haushalt!G213</f>
        <v>100</v>
      </c>
      <c r="E22" s="970">
        <f>Fachschaften_Gesamt!E105</f>
        <v>160</v>
      </c>
      <c r="F22" s="969">
        <f>Haushalt!I213</f>
        <v>250</v>
      </c>
      <c r="G22" s="969" t="e">
        <f>Haushalt!#REF!</f>
        <v>#REF!</v>
      </c>
      <c r="H22" s="917">
        <v>0</v>
      </c>
      <c r="I22" s="971">
        <v>500</v>
      </c>
      <c r="J22" s="972">
        <v>0</v>
      </c>
      <c r="K22" s="969">
        <f>Fachschaften_Gesamt!K105</f>
        <v>500</v>
      </c>
      <c r="L22" s="965">
        <f>Fachschaften_Gesamt!L105</f>
        <v>0</v>
      </c>
      <c r="M22" s="965">
        <f>Fachschaften_Gesamt!M105</f>
        <v>0</v>
      </c>
      <c r="N22" s="965">
        <f>Fachschaften_Gesamt!N105</f>
        <v>0</v>
      </c>
      <c r="O22" s="965">
        <f>Fachschaften_Gesamt!O105</f>
        <v>0</v>
      </c>
      <c r="P22" s="965">
        <f>Fachschaften_Gesamt!P105</f>
        <v>0</v>
      </c>
      <c r="Q22" s="965">
        <f>Fachschaften_Gesamt!Q105</f>
        <v>0</v>
      </c>
      <c r="R22" s="965">
        <f>Fachschaften_Gesamt!R105</f>
        <v>0</v>
      </c>
      <c r="S22" s="965">
        <f>Fachschaften_Gesamt!S105</f>
        <v>0</v>
      </c>
      <c r="T22" s="965">
        <f>Fachschaften_Gesamt!T105</f>
        <v>0</v>
      </c>
      <c r="U22" s="965" t="e">
        <f>Fachschaften_Gesamt!U105</f>
        <v>#REF!</v>
      </c>
      <c r="V22" s="965" t="e">
        <f>Fachschaften_Gesamt!V105</f>
        <v>#REF!</v>
      </c>
      <c r="W22" s="965" t="e">
        <f>Fachschaften_Gesamt!W105</f>
        <v>#REF!</v>
      </c>
      <c r="X22" s="20"/>
      <c r="Y22" s="20"/>
    </row>
    <row r="23" spans="1:25" outlineLevel="2">
      <c r="A23" s="976" t="s">
        <v>432</v>
      </c>
      <c r="B23" s="976" t="s">
        <v>1056</v>
      </c>
      <c r="C23" s="977" t="s">
        <v>1135</v>
      </c>
      <c r="D23" s="969">
        <f>Haushalt!G219</f>
        <v>900</v>
      </c>
      <c r="E23" s="970">
        <f>Fachschaften_Gesamt!E106</f>
        <v>83.58</v>
      </c>
      <c r="F23" s="969">
        <f>Haushalt!I219</f>
        <v>0</v>
      </c>
      <c r="G23" s="969" t="e">
        <f>Haushalt!#REF!</f>
        <v>#REF!</v>
      </c>
      <c r="H23" s="917">
        <v>18.54</v>
      </c>
      <c r="I23" s="971">
        <v>500</v>
      </c>
      <c r="J23" s="972">
        <v>0</v>
      </c>
      <c r="K23" s="969">
        <f>Fachschaften_Gesamt!K106</f>
        <v>500</v>
      </c>
      <c r="L23" s="965">
        <f>Fachschaften_Gesamt!L106</f>
        <v>0</v>
      </c>
      <c r="M23" s="965">
        <f>Fachschaften_Gesamt!M106</f>
        <v>0</v>
      </c>
      <c r="N23" s="965">
        <f>Fachschaften_Gesamt!N106</f>
        <v>0</v>
      </c>
      <c r="O23" s="965">
        <f>Fachschaften_Gesamt!O106</f>
        <v>0</v>
      </c>
      <c r="P23" s="965">
        <f>Fachschaften_Gesamt!P106</f>
        <v>0</v>
      </c>
      <c r="Q23" s="965">
        <f>Fachschaften_Gesamt!Q106</f>
        <v>0</v>
      </c>
      <c r="R23" s="965">
        <f>Fachschaften_Gesamt!R106</f>
        <v>0</v>
      </c>
      <c r="S23" s="965">
        <f>Fachschaften_Gesamt!S106</f>
        <v>0</v>
      </c>
      <c r="T23" s="965">
        <f>Fachschaften_Gesamt!T106</f>
        <v>0</v>
      </c>
      <c r="U23" s="965" t="e">
        <f>Fachschaften_Gesamt!U106</f>
        <v>#REF!</v>
      </c>
      <c r="V23" s="965" t="e">
        <f>Fachschaften_Gesamt!V106</f>
        <v>#REF!</v>
      </c>
      <c r="W23" s="965" t="e">
        <f>Fachschaften_Gesamt!W106</f>
        <v>#REF!</v>
      </c>
      <c r="X23" s="20"/>
      <c r="Y23" s="20"/>
    </row>
    <row r="24" spans="1:25" outlineLevel="2">
      <c r="A24" s="976" t="s">
        <v>444</v>
      </c>
      <c r="B24" s="976" t="s">
        <v>1142</v>
      </c>
      <c r="C24" s="978" t="s">
        <v>1136</v>
      </c>
      <c r="D24" s="969">
        <f>Haushalt!G225</f>
        <v>1250</v>
      </c>
      <c r="E24" s="970"/>
      <c r="F24" s="969">
        <f>Haushalt!I225</f>
        <v>500</v>
      </c>
      <c r="G24" s="969" t="e">
        <f>Haushalt!#REF!</f>
        <v>#REF!</v>
      </c>
      <c r="H24" s="917">
        <v>166.89</v>
      </c>
      <c r="I24" s="971">
        <v>500</v>
      </c>
      <c r="J24" s="972">
        <v>214.19</v>
      </c>
      <c r="K24" s="969">
        <f>Fachschaften_Gesamt!K107</f>
        <v>500</v>
      </c>
      <c r="L24" s="965">
        <f>Fachschaften_Gesamt!L107</f>
        <v>0</v>
      </c>
      <c r="M24" s="965">
        <f>Fachschaften_Gesamt!M107</f>
        <v>0</v>
      </c>
      <c r="N24" s="965">
        <f>Fachschaften_Gesamt!N107</f>
        <v>0</v>
      </c>
      <c r="O24" s="965">
        <f>Fachschaften_Gesamt!O107</f>
        <v>0</v>
      </c>
      <c r="P24" s="965">
        <f>Fachschaften_Gesamt!P107</f>
        <v>0</v>
      </c>
      <c r="Q24" s="965">
        <f>Fachschaften_Gesamt!Q107</f>
        <v>0</v>
      </c>
      <c r="R24" s="965">
        <f>Fachschaften_Gesamt!R107</f>
        <v>19.32</v>
      </c>
      <c r="S24" s="965">
        <f>Fachschaften_Gesamt!S107</f>
        <v>277.26</v>
      </c>
      <c r="T24" s="965">
        <f>Fachschaften_Gesamt!T107</f>
        <v>283.14999999999998</v>
      </c>
      <c r="U24" s="965" t="e">
        <f>Fachschaften_Gesamt!U107</f>
        <v>#REF!</v>
      </c>
      <c r="V24" s="965" t="e">
        <f>Fachschaften_Gesamt!V107</f>
        <v>#REF!</v>
      </c>
      <c r="W24" s="965" t="e">
        <f>Fachschaften_Gesamt!W107</f>
        <v>#REF!</v>
      </c>
      <c r="X24" s="20"/>
      <c r="Y24" s="20"/>
    </row>
    <row r="25" spans="1:25" ht="15" outlineLevel="2" thickBot="1">
      <c r="A25" s="976" t="s">
        <v>464</v>
      </c>
      <c r="B25" s="976" t="s">
        <v>1059</v>
      </c>
      <c r="C25" s="979" t="s">
        <v>1137</v>
      </c>
      <c r="D25" s="226">
        <f>Haushalt!G235/5</f>
        <v>584</v>
      </c>
      <c r="E25" s="970">
        <f>Fachschaften_Gesamt!E108</f>
        <v>0</v>
      </c>
      <c r="F25" s="226">
        <f>Haushalt!I235/5</f>
        <v>490</v>
      </c>
      <c r="G25" s="226" t="e">
        <f>Haushalt!#REF!/5</f>
        <v>#REF!</v>
      </c>
      <c r="H25" s="980">
        <v>0</v>
      </c>
      <c r="I25" s="981">
        <v>200</v>
      </c>
      <c r="J25" s="405">
        <v>0</v>
      </c>
      <c r="K25" s="969">
        <f>Fachschaften_Gesamt!K108</f>
        <v>0</v>
      </c>
      <c r="L25" s="965">
        <f>Fachschaften_Gesamt!L108</f>
        <v>0</v>
      </c>
      <c r="M25" s="965">
        <f>Fachschaften_Gesamt!M108</f>
        <v>0</v>
      </c>
      <c r="N25" s="965">
        <f>Fachschaften_Gesamt!N108</f>
        <v>0</v>
      </c>
      <c r="O25" s="965">
        <f>Fachschaften_Gesamt!O108</f>
        <v>0</v>
      </c>
      <c r="P25" s="965">
        <f>Fachschaften_Gesamt!P108</f>
        <v>0</v>
      </c>
      <c r="Q25" s="965">
        <f>Fachschaften_Gesamt!Q108</f>
        <v>0</v>
      </c>
      <c r="R25" s="965">
        <f>Fachschaften_Gesamt!R108</f>
        <v>0</v>
      </c>
      <c r="S25" s="965">
        <f>Fachschaften_Gesamt!S108</f>
        <v>0</v>
      </c>
      <c r="T25" s="965">
        <f>Fachschaften_Gesamt!T108</f>
        <v>0</v>
      </c>
      <c r="U25" s="965" t="e">
        <f>Fachschaften_Gesamt!U108</f>
        <v>#REF!</v>
      </c>
      <c r="V25" s="965" t="e">
        <f>Fachschaften_Gesamt!V108</f>
        <v>#REF!</v>
      </c>
      <c r="W25" s="965" t="e">
        <f>Fachschaften_Gesamt!W108</f>
        <v>#REF!</v>
      </c>
      <c r="X25" s="20"/>
      <c r="Y25" s="20"/>
    </row>
    <row r="26" spans="1:25">
      <c r="A26" s="209"/>
      <c r="B26" s="210"/>
      <c r="C26" s="211" t="s">
        <v>1079</v>
      </c>
      <c r="D26" s="212">
        <f t="shared" ref="D26:W26" si="3">SUM(D13:D25)</f>
        <v>35384</v>
      </c>
      <c r="E26" s="269">
        <f t="shared" si="3"/>
        <v>16974.280000000002</v>
      </c>
      <c r="F26" s="212">
        <f t="shared" si="3"/>
        <v>36240</v>
      </c>
      <c r="G26" s="212" t="e">
        <f t="shared" ref="G26:H26" si="4">SUM(G13:G25)</f>
        <v>#REF!</v>
      </c>
      <c r="H26" s="212">
        <f t="shared" si="4"/>
        <v>18522.439999999999</v>
      </c>
      <c r="I26" s="212">
        <f t="shared" ref="I26" si="5">SUM(I13:I25)</f>
        <v>32904</v>
      </c>
      <c r="J26" s="364">
        <v>17154.34</v>
      </c>
      <c r="K26" s="212">
        <f>SUM(K13:K25)</f>
        <v>33100</v>
      </c>
      <c r="L26" s="362">
        <f t="shared" ref="L26:M26" si="6">SUM(L13:L25)</f>
        <v>2774.32</v>
      </c>
      <c r="M26" s="212">
        <f t="shared" si="6"/>
        <v>2908.64</v>
      </c>
      <c r="N26" s="213">
        <f t="shared" si="3"/>
        <v>5242.96</v>
      </c>
      <c r="O26" s="213">
        <f t="shared" si="3"/>
        <v>5438.28</v>
      </c>
      <c r="P26" s="213">
        <f t="shared" si="3"/>
        <v>6413.83</v>
      </c>
      <c r="Q26" s="213">
        <f t="shared" si="3"/>
        <v>6548.15</v>
      </c>
      <c r="R26" s="213">
        <f t="shared" si="3"/>
        <v>6701.79</v>
      </c>
      <c r="S26" s="213">
        <f t="shared" si="3"/>
        <v>10203.35</v>
      </c>
      <c r="T26" s="213">
        <f t="shared" ref="T26:U26" si="7">SUM(T13:T25)</f>
        <v>10974.48</v>
      </c>
      <c r="U26" s="213" t="e">
        <f t="shared" si="7"/>
        <v>#REF!</v>
      </c>
      <c r="V26" s="213" t="e">
        <f t="shared" ref="V26" si="8">SUM(V13:V25)</f>
        <v>#REF!</v>
      </c>
      <c r="W26" s="213" t="e">
        <f t="shared" si="3"/>
        <v>#REF!</v>
      </c>
      <c r="X26" s="20"/>
      <c r="Y26" s="20"/>
    </row>
    <row r="27" spans="1:25" ht="15" thickBot="1">
      <c r="A27" s="214"/>
      <c r="B27" s="215"/>
      <c r="C27" s="216" t="s">
        <v>1143</v>
      </c>
      <c r="D27" s="217">
        <f>SUM(D6+D7+D8)-D26</f>
        <v>-15811.5</v>
      </c>
      <c r="E27" s="217">
        <f>E8-E26</f>
        <v>-16974.280000000002</v>
      </c>
      <c r="F27" s="217">
        <f t="shared" ref="F27:W27" si="9">SUM(F6+F7+F8)-F26</f>
        <v>-20740</v>
      </c>
      <c r="G27" s="217" t="e">
        <f t="shared" ref="G27:H27" si="10">SUM(G6+G7+G8)-G26</f>
        <v>#REF!</v>
      </c>
      <c r="H27" s="217">
        <f t="shared" si="10"/>
        <v>-11292.439999999999</v>
      </c>
      <c r="I27" s="217">
        <f t="shared" ref="I27" si="11">SUM(I6+I7+I8)-I26</f>
        <v>-19904</v>
      </c>
      <c r="J27" s="365">
        <v>-5769.34</v>
      </c>
      <c r="K27" s="217">
        <f>K9-K26</f>
        <v>-20100</v>
      </c>
      <c r="L27" s="363">
        <f t="shared" si="9"/>
        <v>-694.32000000000016</v>
      </c>
      <c r="M27" s="217">
        <f t="shared" si="9"/>
        <v>106.36000000000013</v>
      </c>
      <c r="N27" s="217">
        <f t="shared" si="9"/>
        <v>-2062.96</v>
      </c>
      <c r="O27" s="217">
        <f t="shared" si="9"/>
        <v>-2258.2799999999997</v>
      </c>
      <c r="P27" s="217">
        <f t="shared" si="9"/>
        <v>-3233.83</v>
      </c>
      <c r="Q27" s="218">
        <f t="shared" si="9"/>
        <v>-668.14999999999964</v>
      </c>
      <c r="R27" s="218">
        <f t="shared" si="9"/>
        <v>-646.79</v>
      </c>
      <c r="S27" s="218">
        <f t="shared" si="9"/>
        <v>-2653.3500000000004</v>
      </c>
      <c r="T27" s="218">
        <f t="shared" ref="T27:U27" si="12">SUM(T6+T7+T8)-T26</f>
        <v>-3259.4799999999996</v>
      </c>
      <c r="U27" s="218" t="e">
        <f t="shared" si="12"/>
        <v>#REF!</v>
      </c>
      <c r="V27" s="218" t="e">
        <f t="shared" ref="V27" si="13">SUM(V6+V7+V8)-V26</f>
        <v>#REF!</v>
      </c>
      <c r="W27" s="218" t="e">
        <f t="shared" si="9"/>
        <v>#REF!</v>
      </c>
      <c r="X27" s="20"/>
      <c r="Y27" s="20"/>
    </row>
    <row r="28" spans="1:25">
      <c r="L28" s="20"/>
      <c r="M28" s="20"/>
      <c r="N28" s="20"/>
      <c r="O28" s="20"/>
      <c r="P28" s="20"/>
      <c r="Q28" s="20"/>
      <c r="R28" s="20"/>
      <c r="S28" s="20"/>
      <c r="T28" s="20"/>
      <c r="U28" s="20"/>
      <c r="V28" s="20"/>
      <c r="W28" s="20"/>
      <c r="X28" s="20"/>
      <c r="Y28" s="20"/>
    </row>
    <row r="29" spans="1:25">
      <c r="L29" s="20"/>
      <c r="M29" s="20"/>
      <c r="N29" s="20"/>
      <c r="O29" s="20"/>
      <c r="P29" s="20"/>
      <c r="Q29" s="20"/>
      <c r="R29" s="20"/>
      <c r="S29" s="20"/>
      <c r="T29" s="20"/>
      <c r="U29" s="20"/>
      <c r="V29" s="20"/>
      <c r="W29" s="20"/>
      <c r="X29" s="20"/>
      <c r="Y29" s="20"/>
    </row>
  </sheetData>
  <pageMargins left="0.31496062992125984" right="0.31496062992125984" top="0.39370078740157483" bottom="0.39370078740157483" header="0.31496062992125984" footer="0.31496062992125984"/>
  <pageSetup paperSize="9" scale="95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EC3C7D-47BF-41DD-ADBD-AC65804888A6}">
  <dimension ref="A1:Q87"/>
  <sheetViews>
    <sheetView tabSelected="1" topLeftCell="A7" workbookViewId="0">
      <selection activeCell="A7" sqref="A1:XFD1048576"/>
    </sheetView>
  </sheetViews>
  <sheetFormatPr defaultColWidth="11.42578125" defaultRowHeight="14.45"/>
  <cols>
    <col min="1" max="1" width="4" customWidth="1"/>
    <col min="2" max="2" width="0" hidden="1" customWidth="1"/>
    <col min="3" max="3" width="8.42578125" customWidth="1"/>
    <col min="4" max="4" width="50.5703125" customWidth="1"/>
    <col min="5" max="10" width="9.7109375" customWidth="1"/>
    <col min="11" max="16" width="9.7109375" style="251" customWidth="1"/>
  </cols>
  <sheetData>
    <row r="1" spans="1:17" ht="19.149999999999999" customHeight="1">
      <c r="A1" s="250"/>
      <c r="J1" s="438"/>
    </row>
    <row r="2" spans="1:17" ht="13.5" customHeight="1">
      <c r="A2" s="982"/>
      <c r="B2" s="982"/>
      <c r="C2" s="982"/>
      <c r="D2" s="982"/>
      <c r="E2" s="983"/>
      <c r="F2" s="983"/>
      <c r="G2" s="983"/>
      <c r="H2" s="983"/>
      <c r="I2" s="983"/>
      <c r="J2" s="983"/>
      <c r="K2" s="983"/>
      <c r="L2" s="983"/>
      <c r="M2" s="983"/>
      <c r="N2" s="983"/>
      <c r="O2" s="983"/>
      <c r="P2" s="983"/>
    </row>
    <row r="3" spans="1:17" ht="13.5" customHeight="1">
      <c r="A3" s="982"/>
      <c r="B3" s="982"/>
      <c r="C3" s="984"/>
      <c r="D3" s="982"/>
      <c r="E3" s="982"/>
      <c r="F3" s="982"/>
      <c r="G3" s="982"/>
      <c r="H3" s="982"/>
      <c r="I3" s="982"/>
      <c r="J3" s="982"/>
      <c r="K3" s="985"/>
      <c r="L3" s="985"/>
      <c r="M3" s="985"/>
      <c r="N3" s="985"/>
      <c r="O3" s="985"/>
      <c r="P3" s="985"/>
    </row>
    <row r="4" spans="1:17" ht="13.5" customHeight="1">
      <c r="A4" s="982"/>
      <c r="B4" s="982"/>
      <c r="C4" s="982"/>
      <c r="D4" s="982"/>
      <c r="E4" s="985"/>
      <c r="F4" s="985"/>
      <c r="G4" s="985"/>
      <c r="H4" s="985"/>
      <c r="I4" s="985"/>
      <c r="J4" s="986"/>
      <c r="K4" s="986"/>
      <c r="L4" s="986"/>
      <c r="M4" s="986"/>
      <c r="N4" s="986"/>
      <c r="O4" s="986"/>
      <c r="P4" s="986"/>
    </row>
    <row r="5" spans="1:17" ht="13.5" customHeight="1">
      <c r="A5" s="982"/>
      <c r="B5" s="982"/>
      <c r="C5" s="982"/>
      <c r="D5" s="987"/>
      <c r="E5" s="985"/>
      <c r="F5" s="985"/>
      <c r="G5" s="985"/>
      <c r="H5" s="985"/>
      <c r="I5" s="985"/>
      <c r="J5" s="986"/>
      <c r="K5" s="986"/>
      <c r="L5" s="986"/>
      <c r="M5" s="986"/>
      <c r="N5" s="986"/>
      <c r="O5" s="986"/>
      <c r="P5" s="986"/>
    </row>
    <row r="6" spans="1:17" ht="13.5" customHeight="1">
      <c r="A6" s="988"/>
      <c r="B6" s="988"/>
      <c r="C6" s="988"/>
      <c r="D6" s="988"/>
      <c r="E6" s="989"/>
      <c r="F6" s="989"/>
      <c r="G6" s="989"/>
      <c r="H6" s="989"/>
      <c r="I6" s="989"/>
      <c r="J6" s="989"/>
      <c r="K6" s="989"/>
      <c r="L6" s="989"/>
      <c r="M6" s="989"/>
      <c r="N6" s="989"/>
      <c r="O6" s="989"/>
      <c r="P6" s="989"/>
    </row>
    <row r="7" spans="1:17" ht="13.5" customHeight="1">
      <c r="A7" s="982"/>
      <c r="B7" s="982"/>
      <c r="C7" s="982"/>
      <c r="D7" s="982"/>
      <c r="E7" s="985"/>
      <c r="F7" s="985"/>
      <c r="G7" s="985"/>
      <c r="H7" s="985"/>
      <c r="I7" s="985"/>
      <c r="J7" s="986"/>
      <c r="K7" s="986"/>
      <c r="L7" s="986"/>
      <c r="M7" s="986"/>
      <c r="N7" s="986"/>
      <c r="O7" s="986"/>
      <c r="P7" s="986"/>
      <c r="Q7" s="400"/>
    </row>
    <row r="8" spans="1:17" ht="13.5" customHeight="1">
      <c r="A8" s="982"/>
      <c r="B8" s="982"/>
      <c r="C8" s="982"/>
      <c r="D8" s="982"/>
      <c r="E8" s="985"/>
      <c r="F8" s="985"/>
      <c r="G8" s="985"/>
      <c r="H8" s="985"/>
      <c r="I8" s="985"/>
      <c r="J8" s="986"/>
      <c r="K8" s="986"/>
      <c r="L8" s="986"/>
      <c r="M8" s="986"/>
      <c r="N8" s="986"/>
      <c r="O8" s="986"/>
      <c r="P8" s="986"/>
    </row>
    <row r="9" spans="1:17" ht="13.5" customHeight="1">
      <c r="A9" s="982"/>
      <c r="B9" s="982"/>
      <c r="C9" s="982"/>
      <c r="D9" s="982"/>
      <c r="E9" s="985"/>
      <c r="F9" s="985"/>
      <c r="G9" s="985"/>
      <c r="H9" s="985"/>
      <c r="I9" s="985"/>
      <c r="J9" s="986"/>
      <c r="K9" s="986"/>
      <c r="L9" s="986"/>
      <c r="M9" s="986"/>
      <c r="N9" s="986"/>
      <c r="O9" s="986"/>
      <c r="P9" s="986"/>
    </row>
    <row r="10" spans="1:17" ht="13.5" customHeight="1">
      <c r="A10" s="982"/>
      <c r="B10" s="982"/>
      <c r="C10" s="982"/>
      <c r="D10" s="984"/>
      <c r="E10" s="986"/>
      <c r="F10" s="986"/>
      <c r="G10" s="986"/>
      <c r="H10" s="986"/>
      <c r="I10" s="986"/>
      <c r="J10" s="986"/>
      <c r="K10" s="986"/>
      <c r="L10" s="986"/>
      <c r="M10" s="986"/>
      <c r="N10" s="986"/>
      <c r="O10" s="986"/>
      <c r="P10" s="986"/>
    </row>
    <row r="11" spans="1:17" ht="13.5" customHeight="1">
      <c r="A11" s="982"/>
      <c r="B11" s="982"/>
      <c r="C11" s="990"/>
      <c r="D11" s="982"/>
      <c r="E11" s="986"/>
      <c r="F11" s="986"/>
      <c r="G11" s="986"/>
      <c r="H11" s="986"/>
      <c r="I11" s="986"/>
      <c r="J11" s="985"/>
      <c r="K11" s="985"/>
      <c r="L11" s="985"/>
      <c r="M11" s="985"/>
      <c r="N11" s="985"/>
      <c r="O11" s="985"/>
      <c r="P11" s="985"/>
    </row>
    <row r="12" spans="1:17" ht="13.5" customHeight="1">
      <c r="A12" s="982"/>
      <c r="B12" s="982"/>
      <c r="C12" s="990"/>
      <c r="D12" s="982"/>
      <c r="E12" s="986"/>
      <c r="F12" s="986"/>
      <c r="G12" s="986"/>
      <c r="H12" s="986"/>
      <c r="I12" s="986"/>
      <c r="J12" s="985"/>
      <c r="K12" s="985"/>
      <c r="L12" s="985"/>
      <c r="M12" s="985"/>
      <c r="N12" s="985"/>
      <c r="O12" s="985"/>
      <c r="P12" s="985"/>
    </row>
    <row r="13" spans="1:17" ht="13.5" customHeight="1">
      <c r="A13" s="982"/>
      <c r="B13" s="982"/>
      <c r="C13" s="990"/>
      <c r="D13" s="982"/>
      <c r="E13" s="986"/>
      <c r="F13" s="986"/>
      <c r="G13" s="986"/>
      <c r="H13" s="986"/>
      <c r="I13" s="986"/>
      <c r="J13" s="986"/>
      <c r="K13" s="986"/>
      <c r="L13" s="986"/>
      <c r="M13" s="985"/>
      <c r="N13" s="985"/>
      <c r="O13" s="985"/>
      <c r="P13" s="985"/>
      <c r="Q13" s="400"/>
    </row>
    <row r="14" spans="1:17" ht="13.5" customHeight="1">
      <c r="A14" s="982"/>
      <c r="B14" s="982"/>
      <c r="C14" s="990"/>
      <c r="D14" s="982"/>
      <c r="E14" s="986"/>
      <c r="F14" s="986"/>
      <c r="G14" s="986"/>
      <c r="H14" s="986"/>
      <c r="I14" s="986"/>
      <c r="J14" s="985"/>
      <c r="K14" s="985"/>
      <c r="L14" s="985"/>
      <c r="M14" s="985"/>
      <c r="N14" s="985"/>
      <c r="O14" s="985"/>
      <c r="P14" s="985"/>
    </row>
    <row r="15" spans="1:17" ht="13.5" customHeight="1">
      <c r="A15" s="982"/>
      <c r="B15" s="982"/>
      <c r="C15" s="990"/>
      <c r="D15" s="982"/>
      <c r="E15" s="986"/>
      <c r="F15" s="986"/>
      <c r="G15" s="986"/>
      <c r="H15" s="986"/>
      <c r="I15" s="986"/>
      <c r="J15" s="985"/>
      <c r="K15" s="985"/>
      <c r="L15" s="985"/>
      <c r="M15" s="985"/>
      <c r="N15" s="985"/>
      <c r="O15" s="985"/>
      <c r="P15" s="985"/>
    </row>
    <row r="16" spans="1:17" ht="13.5" customHeight="1">
      <c r="A16" s="982"/>
      <c r="B16" s="982"/>
      <c r="C16" s="982"/>
      <c r="D16" s="991"/>
      <c r="E16" s="985"/>
      <c r="F16" s="985"/>
      <c r="G16" s="985"/>
      <c r="H16" s="985"/>
      <c r="I16" s="985"/>
      <c r="J16" s="985"/>
      <c r="K16" s="985"/>
      <c r="L16" s="985"/>
      <c r="M16" s="985"/>
      <c r="N16" s="985"/>
      <c r="O16" s="985"/>
      <c r="P16" s="985"/>
    </row>
    <row r="17" spans="1:17" ht="13.5" customHeight="1">
      <c r="A17" s="982"/>
      <c r="B17" s="982"/>
      <c r="C17" s="982"/>
      <c r="D17" s="982"/>
      <c r="E17" s="992"/>
      <c r="F17" s="993"/>
      <c r="G17" s="993"/>
      <c r="H17" s="993"/>
      <c r="I17" s="993"/>
      <c r="J17" s="985"/>
      <c r="K17" s="985"/>
      <c r="L17" s="985"/>
      <c r="M17" s="985"/>
      <c r="N17" s="985"/>
      <c r="O17" s="985"/>
      <c r="P17" s="985"/>
    </row>
    <row r="18" spans="1:17" ht="13.5" customHeight="1">
      <c r="A18" s="982"/>
      <c r="B18" s="982"/>
      <c r="C18" s="982"/>
      <c r="D18" s="984"/>
      <c r="E18" s="994"/>
      <c r="F18" s="995"/>
      <c r="G18" s="995"/>
      <c r="H18" s="995"/>
      <c r="I18" s="994"/>
      <c r="J18" s="996"/>
      <c r="K18" s="996"/>
      <c r="L18" s="996"/>
      <c r="M18" s="996"/>
      <c r="N18" s="996"/>
      <c r="O18" s="996"/>
      <c r="P18" s="996"/>
      <c r="Q18" s="252"/>
    </row>
    <row r="19" spans="1:17" ht="13.5" customHeight="1">
      <c r="A19" s="253"/>
      <c r="B19" s="253"/>
      <c r="C19" s="253"/>
      <c r="D19" s="253"/>
      <c r="E19" s="253"/>
      <c r="F19" s="253"/>
      <c r="G19" s="253"/>
      <c r="H19" s="253"/>
      <c r="I19" s="253"/>
      <c r="J19" s="253"/>
      <c r="K19" s="254"/>
      <c r="L19" s="254"/>
      <c r="M19" s="254"/>
      <c r="N19" s="254"/>
      <c r="O19" s="254"/>
      <c r="P19" s="254"/>
    </row>
    <row r="20" spans="1:17" ht="13.5" customHeight="1">
      <c r="A20" s="982"/>
      <c r="B20" s="982"/>
      <c r="C20" s="984"/>
      <c r="D20" s="982"/>
      <c r="E20" s="982"/>
      <c r="F20" s="982"/>
      <c r="G20" s="982"/>
      <c r="H20" s="982"/>
      <c r="I20" s="982"/>
      <c r="J20" s="982"/>
      <c r="K20" s="985"/>
      <c r="L20" s="985"/>
      <c r="M20" s="985"/>
      <c r="N20" s="985"/>
      <c r="O20" s="985"/>
      <c r="P20" s="985"/>
    </row>
    <row r="21" spans="1:17" ht="13.5" customHeight="1">
      <c r="A21" s="982"/>
      <c r="B21" s="982"/>
      <c r="C21" s="982"/>
      <c r="D21" s="982"/>
      <c r="E21" s="985"/>
      <c r="F21" s="985"/>
      <c r="G21" s="985"/>
      <c r="H21" s="985"/>
      <c r="I21" s="985"/>
      <c r="J21" s="986"/>
      <c r="K21" s="986"/>
      <c r="L21" s="986"/>
      <c r="M21" s="986"/>
      <c r="N21" s="986"/>
      <c r="O21" s="986"/>
      <c r="P21" s="986"/>
    </row>
    <row r="22" spans="1:17" ht="13.5" customHeight="1">
      <c r="A22" s="982"/>
      <c r="B22" s="982"/>
      <c r="C22" s="982"/>
      <c r="D22" s="982"/>
      <c r="E22" s="985"/>
      <c r="F22" s="985"/>
      <c r="G22" s="985"/>
      <c r="H22" s="985"/>
      <c r="I22" s="985"/>
      <c r="J22" s="986"/>
      <c r="K22" s="986"/>
      <c r="L22" s="986"/>
      <c r="M22" s="986"/>
      <c r="N22" s="986"/>
      <c r="O22" s="986"/>
      <c r="P22" s="986"/>
    </row>
    <row r="23" spans="1:17" ht="13.5" customHeight="1">
      <c r="A23" s="982"/>
      <c r="B23" s="982"/>
      <c r="C23" s="982"/>
      <c r="D23" s="982"/>
      <c r="E23" s="985"/>
      <c r="F23" s="985"/>
      <c r="G23" s="985"/>
      <c r="H23" s="985"/>
      <c r="I23" s="985"/>
      <c r="J23" s="986"/>
      <c r="K23" s="986"/>
      <c r="L23" s="986"/>
      <c r="M23" s="986"/>
      <c r="N23" s="986"/>
      <c r="O23" s="986"/>
      <c r="P23" s="986"/>
    </row>
    <row r="24" spans="1:17" ht="13.5" customHeight="1">
      <c r="A24" s="982"/>
      <c r="B24" s="982"/>
      <c r="C24" s="982"/>
      <c r="D24" s="982"/>
      <c r="E24" s="985"/>
      <c r="F24" s="985"/>
      <c r="G24" s="985"/>
      <c r="H24" s="985"/>
      <c r="I24" s="985"/>
      <c r="J24" s="986"/>
      <c r="K24" s="986"/>
      <c r="L24" s="986"/>
      <c r="M24" s="986"/>
      <c r="N24" s="986"/>
      <c r="O24" s="986"/>
      <c r="P24" s="986"/>
    </row>
    <row r="25" spans="1:17" ht="13.5" customHeight="1">
      <c r="A25" s="988"/>
      <c r="B25" s="988"/>
      <c r="C25" s="988"/>
      <c r="D25" s="988"/>
      <c r="E25" s="986"/>
      <c r="F25" s="986"/>
      <c r="G25" s="986"/>
      <c r="H25" s="986"/>
      <c r="I25" s="986"/>
      <c r="J25" s="986"/>
      <c r="K25" s="986"/>
      <c r="L25" s="986"/>
      <c r="M25" s="986"/>
      <c r="N25" s="986"/>
      <c r="O25" s="986"/>
      <c r="P25" s="986"/>
    </row>
    <row r="26" spans="1:17" ht="13.5" customHeight="1">
      <c r="A26" s="988"/>
      <c r="B26" s="988"/>
      <c r="C26" s="988"/>
      <c r="D26" s="984"/>
      <c r="E26" s="986"/>
      <c r="F26" s="986"/>
      <c r="G26" s="986"/>
      <c r="H26" s="986"/>
      <c r="I26" s="986"/>
      <c r="J26" s="986"/>
      <c r="K26" s="986"/>
      <c r="L26" s="986"/>
      <c r="M26" s="986"/>
      <c r="N26" s="986"/>
      <c r="O26" s="986"/>
      <c r="P26" s="986"/>
    </row>
    <row r="27" spans="1:17" ht="13.5" customHeight="1">
      <c r="A27" s="987"/>
      <c r="B27" s="988"/>
      <c r="C27" s="990"/>
      <c r="D27" s="987"/>
      <c r="E27" s="986"/>
      <c r="F27" s="986"/>
      <c r="G27" s="986"/>
      <c r="H27" s="986"/>
      <c r="I27" s="986"/>
      <c r="J27" s="985"/>
      <c r="K27" s="985"/>
      <c r="L27" s="985"/>
      <c r="M27" s="985"/>
      <c r="N27" s="985"/>
      <c r="O27" s="985"/>
      <c r="P27" s="985"/>
    </row>
    <row r="28" spans="1:17" ht="13.5" customHeight="1">
      <c r="A28" s="987"/>
      <c r="B28" s="988"/>
      <c r="C28" s="990"/>
      <c r="D28" s="987"/>
      <c r="E28" s="986"/>
      <c r="F28" s="986"/>
      <c r="G28" s="986"/>
      <c r="H28" s="986"/>
      <c r="I28" s="986"/>
      <c r="J28" s="985"/>
      <c r="K28" s="985"/>
      <c r="L28" s="985"/>
      <c r="M28" s="985"/>
      <c r="N28" s="985"/>
      <c r="O28" s="985"/>
      <c r="P28" s="985"/>
    </row>
    <row r="29" spans="1:17" ht="13.5" customHeight="1">
      <c r="A29" s="987"/>
      <c r="B29" s="988"/>
      <c r="C29" s="990"/>
      <c r="D29" s="987"/>
      <c r="E29" s="986"/>
      <c r="F29" s="986"/>
      <c r="G29" s="986"/>
      <c r="H29" s="986"/>
      <c r="I29" s="986"/>
      <c r="J29" s="985"/>
      <c r="K29" s="985"/>
      <c r="L29" s="985"/>
      <c r="M29" s="985"/>
      <c r="N29" s="985"/>
      <c r="O29" s="985"/>
      <c r="P29" s="985"/>
    </row>
    <row r="30" spans="1:17" ht="13.5" customHeight="1">
      <c r="A30" s="982"/>
      <c r="B30" s="982"/>
      <c r="C30" s="990"/>
      <c r="D30" s="987"/>
      <c r="E30" s="986"/>
      <c r="F30" s="986"/>
      <c r="G30" s="997"/>
      <c r="H30" s="997"/>
      <c r="I30" s="986"/>
      <c r="J30" s="985"/>
      <c r="K30" s="985"/>
      <c r="L30" s="985"/>
      <c r="M30" s="985"/>
      <c r="N30" s="985"/>
      <c r="O30" s="985"/>
      <c r="P30" s="985"/>
    </row>
    <row r="31" spans="1:17" ht="13.5" customHeight="1">
      <c r="A31" s="982"/>
      <c r="B31" s="982"/>
      <c r="C31" s="990"/>
      <c r="D31" s="987"/>
      <c r="E31" s="986"/>
      <c r="F31" s="986"/>
      <c r="G31" s="997"/>
      <c r="H31" s="997"/>
      <c r="I31" s="986"/>
      <c r="J31" s="985"/>
      <c r="K31" s="985"/>
      <c r="L31" s="985"/>
      <c r="M31" s="985"/>
      <c r="N31" s="985"/>
      <c r="O31" s="985"/>
      <c r="P31" s="985"/>
    </row>
    <row r="32" spans="1:17" ht="13.5" customHeight="1">
      <c r="A32" s="982"/>
      <c r="B32" s="982"/>
      <c r="C32" s="982"/>
      <c r="D32" s="982"/>
      <c r="E32" s="985"/>
      <c r="F32" s="985"/>
      <c r="G32" s="992"/>
      <c r="H32" s="992"/>
      <c r="I32" s="985"/>
      <c r="J32" s="985"/>
      <c r="K32" s="985"/>
      <c r="L32" s="985"/>
      <c r="M32" s="985"/>
      <c r="N32" s="985"/>
      <c r="O32" s="985"/>
      <c r="P32" s="985"/>
    </row>
    <row r="33" spans="1:17" ht="13.5" customHeight="1">
      <c r="A33" s="982"/>
      <c r="B33" s="982"/>
      <c r="C33" s="982"/>
      <c r="D33" s="984"/>
      <c r="E33" s="994"/>
      <c r="F33" s="994"/>
      <c r="G33" s="994"/>
      <c r="H33" s="994"/>
      <c r="I33" s="996"/>
      <c r="J33" s="996"/>
      <c r="K33" s="996"/>
      <c r="L33" s="996"/>
      <c r="M33" s="996"/>
      <c r="N33" s="996"/>
      <c r="O33" s="996"/>
      <c r="P33" s="996"/>
      <c r="Q33" s="252"/>
    </row>
    <row r="34" spans="1:17" ht="13.5" customHeight="1">
      <c r="A34" s="253"/>
      <c r="B34" s="253"/>
      <c r="C34" s="253"/>
      <c r="D34" s="253"/>
      <c r="E34" s="253"/>
      <c r="F34" s="253"/>
      <c r="G34" s="253"/>
      <c r="H34" s="253"/>
      <c r="I34" s="253"/>
      <c r="J34" s="253"/>
      <c r="K34" s="254"/>
      <c r="L34" s="254"/>
      <c r="M34" s="254"/>
      <c r="N34" s="254"/>
      <c r="O34" s="254"/>
      <c r="P34" s="254"/>
    </row>
    <row r="35" spans="1:17" ht="13.5" customHeight="1">
      <c r="A35" s="982"/>
      <c r="B35" s="982"/>
      <c r="C35" s="984"/>
      <c r="D35" s="982"/>
      <c r="E35" s="982"/>
      <c r="F35" s="982"/>
      <c r="G35" s="982"/>
      <c r="H35" s="982"/>
      <c r="I35" s="982"/>
      <c r="J35" s="982"/>
      <c r="K35" s="985"/>
      <c r="L35" s="985"/>
      <c r="M35" s="985"/>
      <c r="N35" s="985"/>
      <c r="O35" s="985"/>
      <c r="P35" s="985"/>
    </row>
    <row r="36" spans="1:17" ht="13.5" customHeight="1">
      <c r="A36" s="982"/>
      <c r="B36" s="982"/>
      <c r="C36" s="982"/>
      <c r="D36" s="982"/>
      <c r="E36" s="985"/>
      <c r="F36" s="985"/>
      <c r="G36" s="985"/>
      <c r="H36" s="985"/>
      <c r="I36" s="985"/>
      <c r="J36" s="986"/>
      <c r="K36" s="986"/>
      <c r="L36" s="986"/>
      <c r="M36" s="986"/>
      <c r="N36" s="986"/>
      <c r="O36" s="986"/>
      <c r="P36" s="986"/>
    </row>
    <row r="37" spans="1:17" ht="13.5" customHeight="1">
      <c r="A37" s="988"/>
      <c r="B37" s="988"/>
      <c r="C37" s="988"/>
      <c r="D37" s="988"/>
      <c r="E37" s="986"/>
      <c r="F37" s="986"/>
      <c r="G37" s="986"/>
      <c r="H37" s="986"/>
      <c r="I37" s="986"/>
      <c r="J37" s="986"/>
      <c r="K37" s="986"/>
      <c r="L37" s="986"/>
      <c r="M37" s="986"/>
      <c r="N37" s="986"/>
      <c r="O37" s="986"/>
      <c r="P37" s="986"/>
    </row>
    <row r="38" spans="1:17" ht="13.5" customHeight="1">
      <c r="A38" s="982"/>
      <c r="B38" s="982"/>
      <c r="C38" s="982"/>
      <c r="D38" s="982"/>
      <c r="E38" s="985"/>
      <c r="F38" s="985"/>
      <c r="G38" s="985"/>
      <c r="H38" s="985"/>
      <c r="I38" s="985"/>
      <c r="J38" s="986"/>
      <c r="K38" s="986"/>
      <c r="L38" s="986"/>
      <c r="M38" s="986"/>
      <c r="N38" s="986"/>
      <c r="O38" s="986"/>
      <c r="P38" s="986"/>
    </row>
    <row r="39" spans="1:17" ht="13.5" customHeight="1">
      <c r="A39" s="982"/>
      <c r="B39" s="982"/>
      <c r="C39" s="982"/>
      <c r="D39" s="982"/>
      <c r="E39" s="985"/>
      <c r="F39" s="985"/>
      <c r="G39" s="985"/>
      <c r="H39" s="985"/>
      <c r="I39" s="985"/>
      <c r="J39" s="986"/>
      <c r="K39" s="986"/>
      <c r="L39" s="986"/>
      <c r="M39" s="986"/>
      <c r="N39" s="986"/>
      <c r="O39" s="986"/>
      <c r="P39" s="986"/>
    </row>
    <row r="40" spans="1:17" ht="13.5" customHeight="1">
      <c r="A40" s="982"/>
      <c r="B40" s="982"/>
      <c r="C40" s="982"/>
      <c r="D40" s="982"/>
      <c r="E40" s="985"/>
      <c r="F40" s="985"/>
      <c r="G40" s="985"/>
      <c r="H40" s="985"/>
      <c r="I40" s="985"/>
      <c r="J40" s="986"/>
      <c r="K40" s="986"/>
      <c r="L40" s="986"/>
      <c r="M40" s="986"/>
      <c r="N40" s="986"/>
      <c r="O40" s="986"/>
      <c r="P40" s="986"/>
    </row>
    <row r="41" spans="1:17" ht="13.5" customHeight="1">
      <c r="A41" s="982"/>
      <c r="B41" s="982"/>
      <c r="C41" s="982"/>
      <c r="D41" s="984"/>
      <c r="E41" s="986"/>
      <c r="F41" s="986"/>
      <c r="G41" s="986"/>
      <c r="H41" s="986"/>
      <c r="I41" s="986"/>
      <c r="J41" s="986"/>
      <c r="K41" s="986"/>
      <c r="L41" s="986"/>
      <c r="M41" s="986"/>
      <c r="N41" s="986"/>
      <c r="O41" s="986"/>
      <c r="P41" s="986"/>
    </row>
    <row r="42" spans="1:17" ht="13.5" customHeight="1">
      <c r="A42" s="982"/>
      <c r="B42" s="982"/>
      <c r="C42" s="990"/>
      <c r="D42" s="982"/>
      <c r="E42" s="986"/>
      <c r="F42" s="986"/>
      <c r="G42" s="986"/>
      <c r="H42" s="986"/>
      <c r="I42" s="986"/>
      <c r="J42" s="985"/>
      <c r="K42" s="985"/>
      <c r="L42" s="985"/>
      <c r="M42" s="985"/>
      <c r="N42" s="985"/>
      <c r="O42" s="985"/>
      <c r="P42" s="985"/>
    </row>
    <row r="43" spans="1:17" ht="13.5" customHeight="1">
      <c r="A43" s="982"/>
      <c r="B43" s="982"/>
      <c r="C43" s="990"/>
      <c r="D43" s="982"/>
      <c r="E43" s="986"/>
      <c r="F43" s="986"/>
      <c r="G43" s="986"/>
      <c r="H43" s="986"/>
      <c r="I43" s="986"/>
      <c r="J43" s="985"/>
      <c r="K43" s="985"/>
      <c r="L43" s="985"/>
      <c r="M43" s="985"/>
      <c r="N43" s="985"/>
      <c r="O43" s="985"/>
      <c r="P43" s="985"/>
    </row>
    <row r="44" spans="1:17" ht="13.5" customHeight="1">
      <c r="A44" s="982"/>
      <c r="B44" s="982"/>
      <c r="C44" s="990"/>
      <c r="D44" s="982"/>
      <c r="E44" s="986"/>
      <c r="F44" s="986"/>
      <c r="G44" s="986"/>
      <c r="H44" s="986"/>
      <c r="I44" s="986"/>
      <c r="J44" s="985"/>
      <c r="K44" s="985"/>
      <c r="L44" s="985"/>
      <c r="M44" s="985"/>
      <c r="N44" s="985"/>
      <c r="O44" s="985"/>
      <c r="P44" s="985"/>
    </row>
    <row r="45" spans="1:17" ht="13.5" customHeight="1">
      <c r="A45" s="982"/>
      <c r="B45" s="982"/>
      <c r="C45" s="990"/>
      <c r="D45" s="982"/>
      <c r="E45" s="986"/>
      <c r="F45" s="986"/>
      <c r="G45" s="986"/>
      <c r="H45" s="986"/>
      <c r="I45" s="986"/>
      <c r="J45" s="985"/>
      <c r="K45" s="985"/>
      <c r="L45" s="985"/>
      <c r="M45" s="985"/>
      <c r="N45" s="985"/>
      <c r="O45" s="985"/>
      <c r="P45" s="985"/>
    </row>
    <row r="46" spans="1:17" ht="13.5" customHeight="1">
      <c r="A46" s="982"/>
      <c r="B46" s="982"/>
      <c r="C46" s="990"/>
      <c r="D46" s="982"/>
      <c r="E46" s="985"/>
      <c r="F46" s="985"/>
      <c r="G46" s="985"/>
      <c r="H46" s="985"/>
      <c r="I46" s="985"/>
      <c r="J46" s="985"/>
      <c r="K46" s="985"/>
      <c r="L46" s="985"/>
      <c r="M46" s="985"/>
      <c r="N46" s="985"/>
      <c r="O46" s="985"/>
      <c r="P46" s="985"/>
    </row>
    <row r="47" spans="1:17" ht="13.5" customHeight="1">
      <c r="A47" s="982"/>
      <c r="B47" s="982"/>
      <c r="C47" s="982"/>
      <c r="D47" s="991"/>
      <c r="E47" s="985"/>
      <c r="F47" s="985"/>
      <c r="G47" s="992"/>
      <c r="H47" s="985"/>
      <c r="I47" s="985"/>
      <c r="J47" s="985"/>
      <c r="K47" s="985"/>
      <c r="L47" s="985"/>
      <c r="M47" s="985"/>
      <c r="N47" s="985"/>
      <c r="O47" s="985"/>
      <c r="P47" s="985"/>
    </row>
    <row r="48" spans="1:17" ht="13.5" customHeight="1">
      <c r="A48" s="982"/>
      <c r="B48" s="982"/>
      <c r="C48" s="982"/>
      <c r="D48" s="982"/>
      <c r="E48" s="985"/>
      <c r="F48" s="985"/>
      <c r="G48" s="985"/>
      <c r="H48" s="985"/>
      <c r="I48" s="985"/>
      <c r="J48" s="985"/>
      <c r="K48" s="985"/>
      <c r="L48" s="985"/>
      <c r="M48" s="985"/>
      <c r="N48" s="985"/>
      <c r="O48" s="985"/>
      <c r="P48" s="985"/>
    </row>
    <row r="49" spans="1:17" ht="13.5" customHeight="1">
      <c r="A49" s="982"/>
      <c r="B49" s="982"/>
      <c r="C49" s="982"/>
      <c r="D49" s="984"/>
      <c r="E49" s="994"/>
      <c r="F49" s="994"/>
      <c r="G49" s="996"/>
      <c r="H49" s="996"/>
      <c r="I49" s="996"/>
      <c r="J49" s="996"/>
      <c r="K49" s="996"/>
      <c r="L49" s="996"/>
      <c r="M49" s="996"/>
      <c r="N49" s="996"/>
      <c r="O49" s="996"/>
      <c r="P49" s="996"/>
      <c r="Q49" s="252"/>
    </row>
    <row r="50" spans="1:17" ht="13.5" customHeight="1">
      <c r="A50" s="253"/>
      <c r="B50" s="253"/>
      <c r="C50" s="253"/>
      <c r="D50" s="253"/>
      <c r="E50" s="253"/>
      <c r="F50" s="253"/>
      <c r="G50" s="253"/>
      <c r="H50" s="253"/>
      <c r="I50" s="253"/>
      <c r="J50" s="253"/>
      <c r="K50" s="254"/>
      <c r="L50" s="254"/>
      <c r="M50" s="254"/>
      <c r="N50" s="254"/>
      <c r="O50" s="254"/>
      <c r="P50" s="254"/>
    </row>
    <row r="51" spans="1:17" ht="13.5" customHeight="1">
      <c r="A51" s="982"/>
      <c r="B51" s="982"/>
      <c r="C51" s="984"/>
      <c r="D51" s="982"/>
      <c r="E51" s="982"/>
      <c r="F51" s="982"/>
      <c r="G51" s="982"/>
      <c r="H51" s="982"/>
      <c r="I51" s="982"/>
      <c r="J51" s="982"/>
      <c r="K51" s="985"/>
      <c r="L51" s="985"/>
      <c r="M51" s="985"/>
      <c r="N51" s="985"/>
      <c r="O51" s="985"/>
      <c r="P51" s="985"/>
    </row>
    <row r="52" spans="1:17" ht="13.5" customHeight="1">
      <c r="A52" s="982"/>
      <c r="B52" s="982"/>
      <c r="C52" s="982"/>
      <c r="D52" s="982"/>
      <c r="E52" s="985"/>
      <c r="F52" s="985"/>
      <c r="G52" s="985"/>
      <c r="H52" s="985"/>
      <c r="I52" s="985"/>
      <c r="J52" s="986"/>
      <c r="K52" s="986"/>
      <c r="L52" s="986"/>
      <c r="M52" s="986"/>
      <c r="N52" s="986"/>
      <c r="O52" s="986"/>
      <c r="P52" s="986"/>
    </row>
    <row r="53" spans="1:17" ht="13.5" customHeight="1">
      <c r="A53" s="982"/>
      <c r="B53" s="982"/>
      <c r="C53" s="982"/>
      <c r="D53" s="982"/>
      <c r="E53" s="985"/>
      <c r="F53" s="985"/>
      <c r="G53" s="985"/>
      <c r="H53" s="985"/>
      <c r="I53" s="985"/>
      <c r="J53" s="986"/>
      <c r="K53" s="986"/>
      <c r="L53" s="986"/>
      <c r="M53" s="986"/>
      <c r="N53" s="986"/>
      <c r="O53" s="986"/>
      <c r="P53" s="986"/>
    </row>
    <row r="54" spans="1:17" ht="13.5" customHeight="1">
      <c r="A54" s="988"/>
      <c r="B54" s="988"/>
      <c r="C54" s="988"/>
      <c r="D54" s="988"/>
      <c r="E54" s="986"/>
      <c r="F54" s="986"/>
      <c r="G54" s="986"/>
      <c r="H54" s="986"/>
      <c r="I54" s="986"/>
      <c r="J54" s="986"/>
      <c r="K54" s="986"/>
      <c r="L54" s="986"/>
      <c r="M54" s="986"/>
      <c r="N54" s="986"/>
      <c r="O54" s="986"/>
      <c r="P54" s="986"/>
    </row>
    <row r="55" spans="1:17" ht="13.5" customHeight="1">
      <c r="A55" s="982"/>
      <c r="B55" s="982"/>
      <c r="C55" s="982"/>
      <c r="D55" s="982"/>
      <c r="E55" s="985"/>
      <c r="F55" s="985"/>
      <c r="G55" s="985"/>
      <c r="H55" s="985"/>
      <c r="I55" s="985"/>
      <c r="J55" s="986"/>
      <c r="K55" s="986"/>
      <c r="L55" s="986"/>
      <c r="M55" s="986"/>
      <c r="N55" s="986"/>
      <c r="O55" s="986"/>
      <c r="P55" s="986"/>
    </row>
    <row r="56" spans="1:17" ht="13.5" customHeight="1">
      <c r="A56" s="982"/>
      <c r="B56" s="982"/>
      <c r="C56" s="982"/>
      <c r="D56" s="982"/>
      <c r="E56" s="985"/>
      <c r="F56" s="985"/>
      <c r="G56" s="985"/>
      <c r="H56" s="985"/>
      <c r="I56" s="985"/>
      <c r="J56" s="986"/>
      <c r="K56" s="986"/>
      <c r="L56" s="986"/>
      <c r="M56" s="986"/>
      <c r="N56" s="986"/>
      <c r="O56" s="986"/>
      <c r="P56" s="986"/>
    </row>
    <row r="57" spans="1:17" ht="13.5" customHeight="1">
      <c r="A57" s="982"/>
      <c r="B57" s="982"/>
      <c r="C57" s="982"/>
      <c r="D57" s="987"/>
      <c r="E57" s="985"/>
      <c r="F57" s="985"/>
      <c r="G57" s="985"/>
      <c r="H57" s="985"/>
      <c r="I57" s="985"/>
      <c r="J57" s="986"/>
      <c r="K57" s="986"/>
      <c r="L57" s="986"/>
      <c r="M57" s="986"/>
      <c r="N57" s="986"/>
      <c r="O57" s="986"/>
      <c r="P57" s="986"/>
    </row>
    <row r="58" spans="1:17" ht="13.5" customHeight="1">
      <c r="A58" s="982"/>
      <c r="B58" s="982"/>
      <c r="C58" s="982"/>
      <c r="D58" s="984"/>
      <c r="E58" s="986"/>
      <c r="F58" s="986"/>
      <c r="G58" s="986"/>
      <c r="H58" s="986"/>
      <c r="I58" s="986"/>
      <c r="J58" s="986"/>
      <c r="K58" s="986"/>
      <c r="L58" s="986"/>
      <c r="M58" s="986"/>
      <c r="N58" s="986"/>
      <c r="O58" s="986"/>
      <c r="P58" s="986"/>
    </row>
    <row r="59" spans="1:17" ht="13.5" customHeight="1">
      <c r="A59" s="982"/>
      <c r="B59" s="982"/>
      <c r="C59" s="990"/>
      <c r="D59" s="987"/>
      <c r="E59" s="986"/>
      <c r="F59" s="986"/>
      <c r="G59" s="986"/>
      <c r="H59" s="986"/>
      <c r="I59" s="986"/>
      <c r="J59" s="985"/>
      <c r="K59" s="985"/>
      <c r="L59" s="985"/>
      <c r="M59" s="985"/>
      <c r="N59" s="985"/>
      <c r="O59" s="985"/>
      <c r="P59" s="985"/>
    </row>
    <row r="60" spans="1:17" ht="13.5" customHeight="1">
      <c r="A60" s="982"/>
      <c r="B60" s="982"/>
      <c r="C60" s="990"/>
      <c r="D60" s="987"/>
      <c r="E60" s="986"/>
      <c r="F60" s="986"/>
      <c r="G60" s="986"/>
      <c r="H60" s="986"/>
      <c r="I60" s="986"/>
      <c r="J60" s="985"/>
      <c r="K60" s="985"/>
      <c r="L60" s="985"/>
      <c r="M60" s="985"/>
      <c r="N60" s="985"/>
      <c r="O60" s="985"/>
      <c r="P60" s="985"/>
    </row>
    <row r="61" spans="1:17" ht="13.5" customHeight="1">
      <c r="A61" s="982"/>
      <c r="B61" s="982"/>
      <c r="C61" s="990"/>
      <c r="D61" s="987"/>
      <c r="E61" s="986"/>
      <c r="F61" s="986"/>
      <c r="G61" s="986"/>
      <c r="H61" s="986"/>
      <c r="I61" s="986"/>
      <c r="J61" s="985"/>
      <c r="K61" s="985"/>
      <c r="L61" s="985"/>
      <c r="M61" s="985"/>
      <c r="N61" s="985"/>
      <c r="O61" s="985"/>
      <c r="P61" s="985"/>
    </row>
    <row r="62" spans="1:17" ht="13.5" customHeight="1">
      <c r="A62" s="982"/>
      <c r="B62" s="982"/>
      <c r="C62" s="990"/>
      <c r="D62" s="987"/>
      <c r="E62" s="986"/>
      <c r="F62" s="986"/>
      <c r="G62" s="986"/>
      <c r="H62" s="986"/>
      <c r="I62" s="986"/>
      <c r="J62" s="985"/>
      <c r="K62" s="985"/>
      <c r="L62" s="985"/>
      <c r="M62" s="985"/>
      <c r="N62" s="985"/>
      <c r="O62" s="985"/>
      <c r="P62" s="985"/>
    </row>
    <row r="63" spans="1:17" ht="13.5" customHeight="1">
      <c r="A63" s="982"/>
      <c r="B63" s="982"/>
      <c r="C63" s="982"/>
      <c r="D63" s="987"/>
      <c r="E63" s="986"/>
      <c r="F63" s="986"/>
      <c r="G63" s="986"/>
      <c r="H63" s="986"/>
      <c r="I63" s="986"/>
      <c r="J63" s="986"/>
      <c r="K63" s="986"/>
      <c r="L63" s="986"/>
      <c r="M63" s="986"/>
      <c r="N63" s="986"/>
      <c r="O63" s="986"/>
      <c r="P63" s="986"/>
    </row>
    <row r="64" spans="1:17" ht="13.5" customHeight="1">
      <c r="A64" s="982"/>
      <c r="B64" s="982"/>
      <c r="C64" s="982"/>
      <c r="D64" s="987"/>
      <c r="E64" s="986"/>
      <c r="F64" s="986"/>
      <c r="G64" s="986"/>
      <c r="H64" s="986"/>
      <c r="I64" s="986"/>
      <c r="J64" s="986"/>
      <c r="K64" s="986"/>
      <c r="L64" s="986"/>
      <c r="M64" s="986"/>
      <c r="N64" s="986"/>
      <c r="O64" s="986"/>
      <c r="P64" s="986"/>
    </row>
    <row r="65" spans="1:17" ht="13.5" customHeight="1">
      <c r="A65" s="982"/>
      <c r="B65" s="982"/>
      <c r="C65" s="982"/>
      <c r="D65" s="982"/>
      <c r="E65" s="985"/>
      <c r="F65" s="985"/>
      <c r="G65" s="985"/>
      <c r="H65" s="985"/>
      <c r="I65" s="985"/>
      <c r="J65" s="985"/>
      <c r="K65" s="985"/>
      <c r="L65" s="985"/>
      <c r="M65" s="985"/>
      <c r="N65" s="985"/>
      <c r="O65" s="985"/>
      <c r="P65" s="985"/>
    </row>
    <row r="66" spans="1:17" ht="13.5" customHeight="1">
      <c r="A66" s="982"/>
      <c r="B66" s="982"/>
      <c r="C66" s="982"/>
      <c r="D66" s="984"/>
      <c r="E66" s="994"/>
      <c r="F66" s="996"/>
      <c r="G66" s="996"/>
      <c r="H66" s="996"/>
      <c r="I66" s="996"/>
      <c r="J66" s="996"/>
      <c r="K66" s="996"/>
      <c r="L66" s="996"/>
      <c r="M66" s="996"/>
      <c r="N66" s="996"/>
      <c r="O66" s="996"/>
      <c r="P66" s="996"/>
      <c r="Q66" s="252"/>
    </row>
    <row r="67" spans="1:17" ht="13.5" customHeight="1">
      <c r="A67" s="253"/>
      <c r="B67" s="253"/>
      <c r="C67" s="253"/>
      <c r="D67" s="253"/>
      <c r="E67" s="253"/>
      <c r="F67" s="253"/>
      <c r="G67" s="253"/>
      <c r="H67" s="253"/>
      <c r="I67" s="253"/>
      <c r="J67" s="253"/>
      <c r="K67" s="254"/>
      <c r="L67" s="254"/>
      <c r="M67" s="254"/>
      <c r="N67" s="254"/>
      <c r="O67" s="254"/>
      <c r="P67" s="254"/>
    </row>
    <row r="68" spans="1:17" ht="13.5" customHeight="1">
      <c r="A68" s="982"/>
      <c r="B68" s="982"/>
      <c r="C68" s="984"/>
      <c r="D68" s="982"/>
      <c r="E68" s="982"/>
      <c r="F68" s="982"/>
      <c r="G68" s="982"/>
      <c r="H68" s="982"/>
      <c r="I68" s="985"/>
      <c r="J68" s="982"/>
      <c r="K68" s="985"/>
      <c r="L68" s="985"/>
      <c r="M68" s="985"/>
      <c r="N68" s="985"/>
      <c r="O68" s="985"/>
      <c r="P68" s="985"/>
    </row>
    <row r="69" spans="1:17" ht="13.5" customHeight="1">
      <c r="A69" s="982"/>
      <c r="B69" s="982"/>
      <c r="C69" s="982"/>
      <c r="D69" s="982"/>
      <c r="E69" s="985"/>
      <c r="F69" s="985"/>
      <c r="G69" s="985"/>
      <c r="H69" s="985"/>
      <c r="I69" s="985"/>
      <c r="J69" s="986"/>
      <c r="K69" s="986"/>
      <c r="L69" s="986"/>
      <c r="M69" s="986"/>
      <c r="N69" s="986"/>
      <c r="O69" s="986"/>
      <c r="P69" s="986"/>
    </row>
    <row r="70" spans="1:17" ht="13.5" customHeight="1">
      <c r="A70" s="982"/>
      <c r="B70" s="982"/>
      <c r="C70" s="982"/>
      <c r="D70" s="982"/>
      <c r="E70" s="985"/>
      <c r="F70" s="985"/>
      <c r="G70" s="985"/>
      <c r="H70" s="985"/>
      <c r="I70" s="985"/>
      <c r="J70" s="986"/>
      <c r="K70" s="986"/>
      <c r="L70" s="986"/>
      <c r="M70" s="986"/>
      <c r="N70" s="986"/>
      <c r="O70" s="986"/>
      <c r="P70" s="986"/>
    </row>
    <row r="71" spans="1:17" ht="13.5" customHeight="1">
      <c r="A71" s="982"/>
      <c r="B71" s="982"/>
      <c r="C71" s="982"/>
      <c r="D71" s="982"/>
      <c r="E71" s="985"/>
      <c r="F71" s="985"/>
      <c r="G71" s="985"/>
      <c r="H71" s="985"/>
      <c r="I71" s="985"/>
      <c r="J71" s="986"/>
      <c r="K71" s="986"/>
      <c r="L71" s="986"/>
      <c r="M71" s="986"/>
      <c r="N71" s="986"/>
      <c r="O71" s="986"/>
      <c r="P71" s="986"/>
    </row>
    <row r="72" spans="1:17" ht="13.5" customHeight="1">
      <c r="A72" s="982"/>
      <c r="B72" s="982"/>
      <c r="C72" s="982"/>
      <c r="D72" s="982"/>
      <c r="E72" s="985"/>
      <c r="F72" s="985"/>
      <c r="G72" s="985"/>
      <c r="H72" s="985"/>
      <c r="I72" s="985"/>
      <c r="J72" s="986"/>
      <c r="K72" s="986"/>
      <c r="L72" s="986"/>
      <c r="M72" s="986"/>
      <c r="N72" s="986"/>
      <c r="O72" s="986"/>
      <c r="P72" s="986"/>
    </row>
    <row r="73" spans="1:17" ht="13.5" customHeight="1">
      <c r="A73" s="982"/>
      <c r="B73" s="982"/>
      <c r="C73" s="982"/>
      <c r="D73" s="984"/>
      <c r="E73" s="986"/>
      <c r="F73" s="986"/>
      <c r="G73" s="986"/>
      <c r="H73" s="986"/>
      <c r="I73" s="986"/>
      <c r="J73" s="986"/>
      <c r="K73" s="986"/>
      <c r="L73" s="986"/>
      <c r="M73" s="986"/>
      <c r="N73" s="986"/>
      <c r="O73" s="986"/>
      <c r="P73" s="986"/>
    </row>
    <row r="74" spans="1:17" ht="13.5" customHeight="1">
      <c r="A74" s="982"/>
      <c r="B74" s="982"/>
      <c r="C74" s="990"/>
      <c r="D74" s="982"/>
      <c r="E74" s="986"/>
      <c r="F74" s="986"/>
      <c r="G74" s="986"/>
      <c r="H74" s="986"/>
      <c r="I74" s="986"/>
      <c r="J74" s="985"/>
      <c r="K74" s="985"/>
      <c r="L74" s="985"/>
      <c r="M74" s="985"/>
      <c r="N74" s="985"/>
      <c r="O74" s="985"/>
      <c r="P74" s="985"/>
    </row>
    <row r="75" spans="1:17" ht="13.5" customHeight="1">
      <c r="A75" s="982"/>
      <c r="B75" s="982"/>
      <c r="C75" s="990"/>
      <c r="D75" s="982"/>
      <c r="E75" s="986"/>
      <c r="F75" s="986"/>
      <c r="G75" s="986"/>
      <c r="H75" s="986"/>
      <c r="I75" s="986"/>
      <c r="J75" s="985"/>
      <c r="K75" s="985"/>
      <c r="L75" s="985"/>
      <c r="M75" s="985"/>
      <c r="N75" s="985"/>
      <c r="O75" s="985"/>
      <c r="P75" s="985"/>
    </row>
    <row r="76" spans="1:17" ht="13.5" customHeight="1">
      <c r="A76" s="982"/>
      <c r="B76" s="982"/>
      <c r="C76" s="990"/>
      <c r="D76" s="982"/>
      <c r="E76" s="986"/>
      <c r="F76" s="986"/>
      <c r="G76" s="986"/>
      <c r="H76" s="986"/>
      <c r="I76" s="986"/>
      <c r="J76" s="985"/>
      <c r="K76" s="985"/>
      <c r="L76" s="985"/>
      <c r="M76" s="985"/>
      <c r="N76" s="985"/>
      <c r="O76" s="985"/>
      <c r="P76" s="985"/>
    </row>
    <row r="77" spans="1:17" ht="13.5" customHeight="1">
      <c r="A77" s="982"/>
      <c r="B77" s="982"/>
      <c r="C77" s="990"/>
      <c r="D77" s="982"/>
      <c r="E77" s="986"/>
      <c r="F77" s="986"/>
      <c r="G77" s="986"/>
      <c r="H77" s="986"/>
      <c r="I77" s="986"/>
      <c r="J77" s="985"/>
      <c r="K77" s="985"/>
      <c r="L77" s="985"/>
      <c r="M77" s="985"/>
      <c r="N77" s="985"/>
      <c r="O77" s="985"/>
      <c r="P77" s="985"/>
    </row>
    <row r="78" spans="1:17" ht="13.5" customHeight="1">
      <c r="A78" s="982"/>
      <c r="B78" s="982"/>
      <c r="C78" s="990"/>
      <c r="D78" s="982"/>
      <c r="E78" s="986"/>
      <c r="F78" s="986"/>
      <c r="G78" s="986"/>
      <c r="H78" s="986"/>
      <c r="I78" s="986"/>
      <c r="J78" s="985"/>
      <c r="K78" s="985"/>
      <c r="L78" s="985"/>
      <c r="M78" s="985"/>
      <c r="N78" s="985"/>
      <c r="O78" s="985"/>
      <c r="P78" s="985"/>
    </row>
    <row r="79" spans="1:17" ht="13.5" customHeight="1">
      <c r="A79" s="982"/>
      <c r="B79" s="982"/>
      <c r="C79" s="982"/>
      <c r="D79" s="991"/>
      <c r="E79" s="985"/>
      <c r="F79" s="985"/>
      <c r="G79" s="992"/>
      <c r="H79" s="985"/>
      <c r="I79" s="992"/>
      <c r="J79" s="985"/>
      <c r="K79" s="985"/>
      <c r="L79" s="985"/>
      <c r="M79" s="985"/>
      <c r="N79" s="985"/>
      <c r="O79" s="985"/>
      <c r="P79" s="985"/>
    </row>
    <row r="80" spans="1:17" ht="13.5" customHeight="1">
      <c r="A80" s="982"/>
      <c r="B80" s="982"/>
      <c r="C80" s="982"/>
      <c r="D80" s="991"/>
      <c r="E80" s="985"/>
      <c r="F80" s="985"/>
      <c r="G80" s="992"/>
      <c r="H80" s="992"/>
      <c r="I80" s="992"/>
      <c r="J80" s="985"/>
      <c r="K80" s="985"/>
      <c r="L80" s="985"/>
      <c r="M80" s="985"/>
      <c r="N80" s="985"/>
      <c r="O80" s="985"/>
      <c r="P80" s="985"/>
    </row>
    <row r="81" spans="1:17" ht="13.5" customHeight="1">
      <c r="A81" s="982"/>
      <c r="B81" s="982"/>
      <c r="C81" s="982"/>
      <c r="D81" s="982"/>
      <c r="E81" s="985"/>
      <c r="F81" s="992"/>
      <c r="G81" s="992"/>
      <c r="H81" s="992"/>
      <c r="I81" s="992"/>
      <c r="J81" s="985"/>
      <c r="K81" s="985"/>
      <c r="L81" s="985"/>
      <c r="M81" s="985"/>
      <c r="N81" s="985"/>
      <c r="O81" s="985"/>
      <c r="P81" s="985"/>
    </row>
    <row r="82" spans="1:17" ht="13.5" customHeight="1">
      <c r="A82" s="982"/>
      <c r="B82" s="982"/>
      <c r="C82" s="982"/>
      <c r="D82" s="984"/>
      <c r="E82" s="994"/>
      <c r="F82" s="994"/>
      <c r="G82" s="994"/>
      <c r="H82" s="994"/>
      <c r="I82" s="994"/>
      <c r="J82" s="996"/>
      <c r="K82" s="996"/>
      <c r="L82" s="996"/>
      <c r="M82" s="996"/>
      <c r="N82" s="996"/>
      <c r="O82" s="996"/>
      <c r="P82" s="996"/>
      <c r="Q82" s="252"/>
    </row>
    <row r="83" spans="1:17" ht="13.5" customHeight="1">
      <c r="A83" s="253"/>
      <c r="B83" s="253"/>
      <c r="C83" s="253"/>
      <c r="D83" s="253"/>
      <c r="E83" s="253"/>
      <c r="F83" s="253"/>
      <c r="G83" s="253"/>
      <c r="H83" s="253"/>
      <c r="I83" s="253"/>
      <c r="J83" s="253"/>
      <c r="K83" s="254"/>
      <c r="L83" s="254"/>
      <c r="M83" s="254"/>
      <c r="N83" s="254"/>
      <c r="O83" s="254"/>
      <c r="P83" s="254"/>
    </row>
    <row r="84" spans="1:17" ht="13.5" customHeight="1">
      <c r="A84" s="253"/>
      <c r="B84" s="253"/>
      <c r="C84" s="253"/>
      <c r="D84" s="253"/>
      <c r="E84" s="253"/>
      <c r="F84" s="253"/>
      <c r="G84" s="253"/>
      <c r="H84" s="253"/>
      <c r="I84" s="253"/>
      <c r="J84" s="253"/>
      <c r="K84" s="254"/>
      <c r="L84" s="254"/>
      <c r="M84" s="254"/>
      <c r="N84" s="254"/>
      <c r="O84" s="254"/>
      <c r="P84" s="254"/>
    </row>
    <row r="85" spans="1:17" ht="13.5" customHeight="1">
      <c r="A85" s="253"/>
      <c r="B85" s="253"/>
      <c r="C85" s="253"/>
      <c r="D85" s="982"/>
      <c r="E85" s="996"/>
      <c r="F85" s="996"/>
      <c r="G85" s="996"/>
      <c r="H85" s="996"/>
      <c r="I85" s="996"/>
      <c r="J85" s="996"/>
      <c r="K85" s="996"/>
      <c r="L85" s="996"/>
      <c r="M85" s="996"/>
      <c r="N85" s="996"/>
      <c r="O85" s="996"/>
      <c r="P85" s="996"/>
      <c r="Q85" s="255"/>
    </row>
    <row r="87" spans="1:17" ht="15">
      <c r="D87" s="256"/>
    </row>
  </sheetData>
  <pageMargins left="0.31496062992125984" right="0.31496062992125984" top="0.39370078740157483" bottom="0.39370078740157483" header="0.31496062992125984" footer="0.31496062992125984"/>
  <pageSetup paperSize="9" scale="95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209F6B-25FF-47A2-9F88-102E85B64707}">
  <dimension ref="A1:S32"/>
  <sheetViews>
    <sheetView workbookViewId="0">
      <selection sqref="A1:XFD1048576"/>
    </sheetView>
  </sheetViews>
  <sheetFormatPr defaultColWidth="11.42578125" defaultRowHeight="14.45"/>
  <cols>
    <col min="1" max="1" width="4.140625" customWidth="1"/>
    <col min="2" max="2" width="0" hidden="1" customWidth="1"/>
    <col min="3" max="3" width="8.85546875" customWidth="1"/>
    <col min="4" max="4" width="31.28515625" customWidth="1"/>
    <col min="5" max="10" width="8.7109375" customWidth="1"/>
    <col min="11" max="11" width="8.7109375" style="251" customWidth="1"/>
    <col min="12" max="16" width="8.7109375" customWidth="1"/>
    <col min="17" max="17" width="10.42578125" customWidth="1"/>
    <col min="18" max="25" width="9.7109375" customWidth="1"/>
  </cols>
  <sheetData>
    <row r="1" spans="1:19">
      <c r="A1" s="6"/>
    </row>
    <row r="3" spans="1:19" s="253" customFormat="1" ht="12">
      <c r="A3" s="982"/>
      <c r="B3" s="982"/>
      <c r="C3" s="998"/>
      <c r="D3" s="982"/>
      <c r="E3" s="983"/>
      <c r="F3" s="983"/>
      <c r="G3" s="983"/>
      <c r="H3" s="983"/>
      <c r="I3" s="983"/>
      <c r="J3" s="983"/>
      <c r="K3" s="983"/>
      <c r="L3" s="983"/>
      <c r="M3" s="983"/>
      <c r="N3" s="983"/>
      <c r="O3" s="983"/>
      <c r="P3" s="983"/>
    </row>
    <row r="4" spans="1:19" s="253" customFormat="1" ht="18" customHeight="1">
      <c r="A4" s="982"/>
      <c r="B4" s="982"/>
      <c r="C4" s="982"/>
      <c r="D4" s="999"/>
      <c r="E4" s="992"/>
      <c r="F4" s="992"/>
      <c r="G4" s="992"/>
      <c r="H4" s="992"/>
      <c r="I4" s="992"/>
      <c r="J4" s="1000"/>
      <c r="K4" s="1000"/>
      <c r="L4" s="1000"/>
      <c r="M4" s="1000"/>
      <c r="N4" s="1000"/>
      <c r="O4" s="1000"/>
      <c r="P4" s="1000"/>
      <c r="Q4" s="257"/>
      <c r="R4" s="257"/>
      <c r="S4" s="257"/>
    </row>
    <row r="5" spans="1:19" s="253" customFormat="1" ht="18" customHeight="1">
      <c r="A5" s="982"/>
      <c r="B5" s="982"/>
      <c r="C5" s="982"/>
      <c r="D5" s="999"/>
      <c r="E5" s="992"/>
      <c r="F5" s="992"/>
      <c r="G5" s="992"/>
      <c r="H5" s="992"/>
      <c r="I5" s="992"/>
      <c r="J5" s="992"/>
      <c r="K5" s="1000"/>
      <c r="L5" s="1000"/>
      <c r="M5" s="1000"/>
      <c r="N5" s="1000"/>
      <c r="O5" s="1000"/>
      <c r="P5" s="1000"/>
      <c r="Q5" s="257"/>
      <c r="R5" s="257"/>
      <c r="S5" s="257"/>
    </row>
    <row r="6" spans="1:19" s="253" customFormat="1" ht="18" customHeight="1">
      <c r="A6" s="982"/>
      <c r="B6" s="982"/>
      <c r="C6" s="982"/>
      <c r="D6" s="1001"/>
      <c r="E6" s="1000"/>
      <c r="F6" s="1000"/>
      <c r="G6" s="1000"/>
      <c r="H6" s="1000"/>
      <c r="I6" s="1000"/>
      <c r="J6" s="1000"/>
      <c r="K6" s="1000"/>
      <c r="L6" s="1000"/>
      <c r="M6" s="1000"/>
      <c r="N6" s="1000"/>
      <c r="O6" s="1000"/>
      <c r="P6" s="1000"/>
      <c r="Q6" s="257"/>
      <c r="R6" s="257"/>
      <c r="S6" s="257"/>
    </row>
    <row r="7" spans="1:19" s="253" customFormat="1" ht="18" customHeight="1">
      <c r="A7" s="982"/>
      <c r="B7" s="982"/>
      <c r="C7" s="1002"/>
      <c r="D7" s="999"/>
      <c r="E7" s="1000"/>
      <c r="F7" s="1000"/>
      <c r="G7" s="1000"/>
      <c r="H7" s="1000"/>
      <c r="I7" s="1000"/>
      <c r="J7" s="1000"/>
      <c r="K7" s="1000"/>
      <c r="L7" s="1000"/>
      <c r="M7" s="992"/>
      <c r="N7" s="992"/>
      <c r="O7" s="992"/>
      <c r="P7" s="992"/>
      <c r="Q7" s="257"/>
      <c r="R7" s="257"/>
      <c r="S7" s="257"/>
    </row>
    <row r="8" spans="1:19" s="253" customFormat="1" ht="18" customHeight="1">
      <c r="A8" s="982"/>
      <c r="B8" s="982"/>
      <c r="C8" s="1002"/>
      <c r="D8" s="999"/>
      <c r="E8" s="1000"/>
      <c r="F8" s="1000"/>
      <c r="G8" s="1000"/>
      <c r="H8" s="1000"/>
      <c r="I8" s="1000"/>
      <c r="J8" s="1000"/>
      <c r="K8" s="1000"/>
      <c r="L8" s="1000"/>
      <c r="M8" s="1000"/>
      <c r="N8" s="992"/>
      <c r="O8" s="992"/>
      <c r="P8" s="992"/>
      <c r="Q8" s="257"/>
      <c r="R8" s="257"/>
      <c r="S8" s="257"/>
    </row>
    <row r="9" spans="1:19" s="253" customFormat="1" ht="18" customHeight="1">
      <c r="A9" s="982"/>
      <c r="B9" s="982"/>
      <c r="C9" s="982"/>
      <c r="D9" s="984"/>
      <c r="E9" s="994"/>
      <c r="F9" s="994"/>
      <c r="G9" s="994"/>
      <c r="H9" s="994"/>
      <c r="I9" s="994"/>
      <c r="J9" s="994"/>
      <c r="K9" s="994"/>
      <c r="L9" s="994"/>
      <c r="M9" s="994"/>
      <c r="N9" s="994"/>
      <c r="O9" s="994"/>
      <c r="P9" s="994"/>
      <c r="Q9" s="992"/>
      <c r="R9" s="257"/>
      <c r="S9" s="257"/>
    </row>
    <row r="10" spans="1:19" s="253" customFormat="1" ht="18" customHeight="1">
      <c r="K10" s="254"/>
    </row>
    <row r="11" spans="1:19" s="253" customFormat="1" ht="18" customHeight="1">
      <c r="K11" s="254"/>
      <c r="Q11" s="257"/>
      <c r="R11" s="257"/>
      <c r="S11" s="257"/>
    </row>
    <row r="12" spans="1:19" s="253" customFormat="1" ht="18" customHeight="1">
      <c r="A12" s="982"/>
      <c r="B12" s="982"/>
      <c r="C12" s="982"/>
      <c r="D12" s="999"/>
      <c r="E12" s="992"/>
      <c r="F12" s="992"/>
      <c r="G12" s="992"/>
      <c r="H12" s="992"/>
      <c r="I12" s="992"/>
      <c r="J12" s="1000"/>
      <c r="K12" s="1000"/>
      <c r="L12" s="1000"/>
      <c r="M12" s="1000"/>
      <c r="N12" s="1000"/>
      <c r="O12" s="1000"/>
      <c r="P12" s="1000"/>
      <c r="Q12" s="257"/>
      <c r="R12" s="257"/>
      <c r="S12" s="257"/>
    </row>
    <row r="13" spans="1:19" s="253" customFormat="1" ht="18" customHeight="1">
      <c r="A13" s="982"/>
      <c r="B13" s="982"/>
      <c r="C13" s="982"/>
      <c r="D13" s="999"/>
      <c r="E13" s="992"/>
      <c r="F13" s="992"/>
      <c r="G13" s="992"/>
      <c r="H13" s="992"/>
      <c r="I13" s="992"/>
      <c r="J13" s="1000"/>
      <c r="K13" s="1000"/>
      <c r="L13" s="1000"/>
      <c r="M13" s="1000"/>
      <c r="N13" s="1000"/>
      <c r="O13" s="1000"/>
      <c r="P13" s="1000"/>
      <c r="Q13" s="257"/>
      <c r="R13" s="257"/>
      <c r="S13" s="257"/>
    </row>
    <row r="14" spans="1:19" s="253" customFormat="1" ht="18" customHeight="1">
      <c r="A14" s="982"/>
      <c r="B14" s="982"/>
      <c r="C14" s="982"/>
      <c r="D14" s="1001"/>
      <c r="E14" s="1000"/>
      <c r="F14" s="1000"/>
      <c r="G14" s="1000"/>
      <c r="H14" s="1000"/>
      <c r="I14" s="1000"/>
      <c r="J14" s="1000"/>
      <c r="K14" s="1000"/>
      <c r="L14" s="1000"/>
      <c r="M14" s="1000"/>
      <c r="N14" s="1000"/>
      <c r="O14" s="1000"/>
      <c r="P14" s="1000"/>
      <c r="Q14" s="257"/>
      <c r="R14" s="257"/>
      <c r="S14" s="257"/>
    </row>
    <row r="15" spans="1:19" s="253" customFormat="1" ht="18" customHeight="1">
      <c r="A15" s="982"/>
      <c r="B15" s="982"/>
      <c r="C15" s="1002"/>
      <c r="D15" s="999"/>
      <c r="E15" s="1000"/>
      <c r="F15" s="1000"/>
      <c r="G15" s="1000"/>
      <c r="H15" s="1000"/>
      <c r="I15" s="1000"/>
      <c r="J15" s="992"/>
      <c r="K15" s="992"/>
      <c r="L15" s="992"/>
      <c r="M15" s="992"/>
      <c r="N15" s="992"/>
      <c r="O15" s="992"/>
      <c r="P15" s="992"/>
      <c r="Q15" s="257"/>
      <c r="R15" s="257"/>
      <c r="S15" s="257"/>
    </row>
    <row r="16" spans="1:19" s="253" customFormat="1" ht="18" customHeight="1">
      <c r="A16" s="982"/>
      <c r="B16" s="982"/>
      <c r="C16" s="1002"/>
      <c r="D16" s="1002"/>
      <c r="E16" s="1000"/>
      <c r="F16" s="1000"/>
      <c r="G16" s="1000"/>
      <c r="H16" s="1000"/>
      <c r="I16" s="1000"/>
      <c r="J16" s="992"/>
      <c r="K16" s="992"/>
      <c r="L16" s="992"/>
      <c r="M16" s="992"/>
      <c r="N16" s="992"/>
      <c r="O16" s="992"/>
      <c r="P16" s="992"/>
    </row>
    <row r="17" spans="1:19" s="253" customFormat="1" ht="18" customHeight="1">
      <c r="A17" s="982"/>
      <c r="B17" s="982"/>
      <c r="C17" s="982"/>
      <c r="D17" s="984"/>
      <c r="E17" s="994"/>
      <c r="F17" s="994"/>
      <c r="G17" s="994"/>
      <c r="H17" s="994"/>
      <c r="I17" s="994"/>
      <c r="J17" s="994"/>
      <c r="K17" s="994"/>
      <c r="L17" s="994"/>
      <c r="M17" s="994"/>
      <c r="N17" s="994"/>
      <c r="O17" s="994"/>
      <c r="P17" s="994"/>
      <c r="Q17" s="992"/>
    </row>
    <row r="18" spans="1:19" s="253" customFormat="1" ht="18" customHeight="1">
      <c r="K18" s="254"/>
    </row>
    <row r="19" spans="1:19" s="253" customFormat="1" ht="18" customHeight="1">
      <c r="K19" s="254"/>
    </row>
    <row r="20" spans="1:19" s="253" customFormat="1" ht="18" customHeight="1">
      <c r="A20" s="982"/>
      <c r="B20" s="982"/>
      <c r="C20" s="1002"/>
      <c r="D20" s="1003"/>
      <c r="E20" s="992"/>
      <c r="F20" s="992"/>
      <c r="G20" s="992"/>
      <c r="H20" s="992"/>
      <c r="I20" s="992"/>
      <c r="J20" s="1000"/>
      <c r="K20" s="1000"/>
      <c r="L20" s="1000"/>
      <c r="M20" s="1000"/>
      <c r="N20" s="1000"/>
      <c r="O20" s="1000"/>
      <c r="P20" s="1000"/>
      <c r="Q20" s="257"/>
      <c r="R20" s="257"/>
      <c r="S20" s="257"/>
    </row>
    <row r="21" spans="1:19" s="253" customFormat="1" ht="18" customHeight="1">
      <c r="A21" s="982"/>
      <c r="B21" s="982"/>
      <c r="C21" s="1002"/>
      <c r="D21" s="999"/>
      <c r="E21" s="992"/>
      <c r="F21" s="992"/>
      <c r="G21" s="992"/>
      <c r="H21" s="992"/>
      <c r="I21" s="992"/>
      <c r="J21" s="1000"/>
      <c r="K21" s="1000"/>
      <c r="L21" s="1000"/>
      <c r="M21" s="1000"/>
      <c r="N21" s="1000"/>
      <c r="O21" s="1000"/>
      <c r="P21" s="1000"/>
    </row>
    <row r="22" spans="1:19" s="253" customFormat="1" ht="18" customHeight="1">
      <c r="A22" s="982"/>
      <c r="B22" s="982"/>
      <c r="C22" s="982"/>
      <c r="D22" s="1001"/>
      <c r="E22" s="994"/>
      <c r="F22" s="994"/>
      <c r="G22" s="994"/>
      <c r="H22" s="994"/>
      <c r="I22" s="994"/>
      <c r="J22" s="994"/>
      <c r="K22" s="994"/>
      <c r="L22" s="994"/>
      <c r="M22" s="994"/>
      <c r="N22" s="994"/>
      <c r="O22" s="994"/>
      <c r="P22" s="994"/>
      <c r="Q22" s="992"/>
    </row>
    <row r="23" spans="1:19" ht="18" customHeight="1"/>
    <row r="24" spans="1:19" s="253" customFormat="1" ht="18" customHeight="1">
      <c r="A24" s="982"/>
      <c r="B24" s="982"/>
      <c r="C24" s="1002"/>
      <c r="D24" s="999"/>
      <c r="E24" s="992"/>
      <c r="F24" s="992"/>
      <c r="G24" s="992"/>
      <c r="H24" s="992"/>
      <c r="I24" s="992"/>
      <c r="J24" s="1000"/>
      <c r="K24" s="1000"/>
      <c r="L24" s="1000"/>
      <c r="M24" s="1000"/>
      <c r="N24" s="1000"/>
      <c r="O24" s="1000"/>
      <c r="P24" s="1000"/>
      <c r="Q24" s="257"/>
      <c r="R24" s="257"/>
      <c r="S24" s="257"/>
    </row>
    <row r="25" spans="1:19" s="253" customFormat="1" ht="18" customHeight="1">
      <c r="A25" s="982"/>
      <c r="B25" s="982"/>
      <c r="C25" s="1002"/>
      <c r="D25" s="999"/>
      <c r="E25" s="992"/>
      <c r="F25" s="992"/>
      <c r="G25" s="992"/>
      <c r="H25" s="992"/>
      <c r="I25" s="992"/>
      <c r="J25" s="1000"/>
      <c r="K25" s="1000"/>
      <c r="L25" s="1000"/>
      <c r="M25" s="1000"/>
      <c r="N25" s="1000"/>
      <c r="O25" s="1000"/>
      <c r="P25" s="1000"/>
    </row>
    <row r="26" spans="1:19" s="253" customFormat="1" ht="18" customHeight="1">
      <c r="A26" s="982"/>
      <c r="B26" s="982"/>
      <c r="C26" s="1002"/>
      <c r="D26" s="999"/>
      <c r="E26" s="992"/>
      <c r="F26" s="992"/>
      <c r="G26" s="992"/>
      <c r="H26" s="992"/>
      <c r="I26" s="992"/>
      <c r="J26" s="1000"/>
      <c r="K26" s="1000"/>
      <c r="L26" s="1000"/>
      <c r="M26" s="992"/>
      <c r="N26" s="992"/>
      <c r="O26" s="992"/>
      <c r="P26" s="992"/>
    </row>
    <row r="27" spans="1:19" s="253" customFormat="1" ht="18" customHeight="1">
      <c r="A27" s="982"/>
      <c r="B27" s="982"/>
      <c r="C27" s="1002"/>
      <c r="D27" s="999"/>
      <c r="E27" s="992"/>
      <c r="F27" s="992"/>
      <c r="G27" s="992"/>
      <c r="H27" s="992"/>
      <c r="I27" s="992"/>
      <c r="J27" s="1000"/>
      <c r="K27" s="1000"/>
      <c r="L27" s="1000"/>
      <c r="M27" s="992"/>
      <c r="N27" s="992"/>
      <c r="O27" s="992"/>
      <c r="P27" s="992"/>
    </row>
    <row r="28" spans="1:19" s="253" customFormat="1" ht="18" customHeight="1">
      <c r="A28" s="982"/>
      <c r="B28" s="982"/>
      <c r="C28" s="982"/>
      <c r="D28" s="982"/>
      <c r="E28" s="992"/>
      <c r="F28" s="992"/>
      <c r="G28" s="992"/>
      <c r="H28" s="992"/>
      <c r="I28" s="992"/>
      <c r="J28" s="992"/>
      <c r="K28" s="992"/>
      <c r="L28" s="992"/>
      <c r="M28" s="992"/>
      <c r="N28" s="992"/>
      <c r="O28" s="992"/>
      <c r="P28" s="992"/>
    </row>
    <row r="29" spans="1:19" s="253" customFormat="1" ht="18" customHeight="1">
      <c r="A29" s="982"/>
      <c r="B29" s="982"/>
      <c r="C29" s="982"/>
      <c r="D29" s="984"/>
      <c r="E29" s="994"/>
      <c r="F29" s="994"/>
      <c r="G29" s="994"/>
      <c r="H29" s="994"/>
      <c r="I29" s="994"/>
      <c r="J29" s="994"/>
      <c r="K29" s="994"/>
      <c r="L29" s="994"/>
      <c r="M29" s="994"/>
      <c r="N29" s="994"/>
      <c r="O29" s="994"/>
      <c r="P29" s="994"/>
      <c r="Q29" s="992"/>
    </row>
    <row r="30" spans="1:19" ht="19.899999999999999" customHeight="1"/>
    <row r="31" spans="1:19" ht="19.899999999999999" customHeight="1">
      <c r="E31" s="258"/>
      <c r="F31" s="258"/>
      <c r="G31" s="258"/>
      <c r="H31" s="258"/>
      <c r="I31" s="258"/>
      <c r="J31" s="13"/>
      <c r="K31" s="258"/>
      <c r="L31" s="258"/>
      <c r="M31" s="258"/>
      <c r="N31" s="258"/>
      <c r="O31" s="258"/>
      <c r="P31" s="258"/>
      <c r="Q31" s="258"/>
    </row>
    <row r="32" spans="1:19">
      <c r="D32" s="400"/>
      <c r="Q32" s="259"/>
    </row>
  </sheetData>
  <pageMargins left="0.11811023622047245" right="0.11811023622047245" top="0.59055118110236227" bottom="0.59055118110236227" header="0.31496062992125984" footer="0.31496062992125984"/>
  <pageSetup paperSize="9" scale="85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681D1B-6BDD-4BC1-911A-DC5A411BBA25}">
  <dimension ref="A1:S62"/>
  <sheetViews>
    <sheetView topLeftCell="A21" workbookViewId="0">
      <selection activeCell="A21" sqref="A1:XFD1048576"/>
    </sheetView>
  </sheetViews>
  <sheetFormatPr defaultColWidth="11.5703125" defaultRowHeight="12"/>
  <cols>
    <col min="1" max="1" width="6.140625" style="253" customWidth="1"/>
    <col min="2" max="2" width="0" style="253" hidden="1" customWidth="1"/>
    <col min="3" max="3" width="10.7109375" style="253" customWidth="1"/>
    <col min="4" max="4" width="67.85546875" style="253" customWidth="1"/>
    <col min="5" max="15" width="10.28515625" style="253" customWidth="1"/>
    <col min="16" max="16" width="10.42578125" style="254" customWidth="1"/>
    <col min="17" max="17" width="10.28515625" style="253" customWidth="1"/>
    <col min="18" max="16384" width="11.5703125" style="253"/>
  </cols>
  <sheetData>
    <row r="1" spans="1:19" ht="15">
      <c r="A1" s="6"/>
      <c r="J1" s="437"/>
    </row>
    <row r="2" spans="1:19">
      <c r="A2" s="982"/>
      <c r="B2" s="982"/>
      <c r="C2" s="982"/>
      <c r="D2" s="982"/>
      <c r="E2" s="983"/>
      <c r="F2" s="983"/>
      <c r="G2" s="983"/>
      <c r="H2" s="983"/>
      <c r="I2" s="983"/>
      <c r="J2" s="983"/>
      <c r="K2" s="983"/>
      <c r="L2" s="983"/>
      <c r="M2" s="983"/>
      <c r="N2" s="983"/>
      <c r="O2" s="983"/>
      <c r="P2" s="983"/>
    </row>
    <row r="3" spans="1:19">
      <c r="A3" s="982"/>
      <c r="B3" s="982"/>
      <c r="C3" s="982"/>
      <c r="D3" s="982"/>
      <c r="E3" s="985"/>
      <c r="F3" s="985"/>
      <c r="G3" s="985"/>
      <c r="H3" s="985"/>
      <c r="I3" s="985"/>
      <c r="J3" s="986"/>
      <c r="K3" s="986"/>
      <c r="L3" s="986"/>
      <c r="M3" s="986"/>
      <c r="N3" s="986"/>
      <c r="O3" s="986"/>
      <c r="P3" s="986"/>
      <c r="Q3" s="257"/>
      <c r="R3" s="257"/>
      <c r="S3" s="257"/>
    </row>
    <row r="4" spans="1:19">
      <c r="A4" s="982"/>
      <c r="B4" s="982"/>
      <c r="C4" s="982"/>
      <c r="D4" s="982"/>
      <c r="E4" s="985"/>
      <c r="F4" s="985"/>
      <c r="G4" s="985"/>
      <c r="H4" s="985"/>
      <c r="I4" s="985"/>
      <c r="J4" s="986"/>
      <c r="K4" s="986"/>
      <c r="L4" s="986"/>
      <c r="M4" s="986"/>
      <c r="N4" s="986"/>
      <c r="O4" s="986"/>
      <c r="P4" s="986"/>
      <c r="Q4" s="257"/>
      <c r="R4" s="257"/>
      <c r="S4" s="257"/>
    </row>
    <row r="5" spans="1:19">
      <c r="A5" s="982"/>
      <c r="B5" s="982"/>
      <c r="C5" s="982"/>
      <c r="D5" s="982"/>
      <c r="E5" s="985"/>
      <c r="F5" s="985"/>
      <c r="G5" s="985"/>
      <c r="H5" s="985"/>
      <c r="I5" s="985"/>
      <c r="J5" s="986"/>
      <c r="K5" s="986"/>
      <c r="L5" s="986"/>
      <c r="M5" s="986"/>
      <c r="N5" s="986"/>
      <c r="O5" s="986"/>
      <c r="P5" s="986"/>
      <c r="Q5" s="257"/>
      <c r="R5" s="257"/>
      <c r="S5" s="257"/>
    </row>
    <row r="6" spans="1:19">
      <c r="A6" s="982"/>
      <c r="B6" s="982"/>
      <c r="C6" s="982"/>
      <c r="D6" s="982"/>
      <c r="E6" s="985"/>
      <c r="F6" s="985"/>
      <c r="G6" s="985"/>
      <c r="H6" s="985"/>
      <c r="I6" s="985"/>
      <c r="J6" s="986"/>
      <c r="K6" s="986"/>
      <c r="L6" s="986"/>
      <c r="M6" s="986"/>
      <c r="N6" s="986"/>
      <c r="O6" s="986"/>
      <c r="P6" s="986"/>
      <c r="Q6" s="257"/>
      <c r="R6" s="257"/>
      <c r="S6" s="257"/>
    </row>
    <row r="7" spans="1:19">
      <c r="A7" s="982"/>
      <c r="B7" s="982"/>
      <c r="C7" s="982"/>
      <c r="D7" s="1004"/>
      <c r="E7" s="986"/>
      <c r="F7" s="986"/>
      <c r="G7" s="986"/>
      <c r="H7" s="986"/>
      <c r="I7" s="986"/>
      <c r="J7" s="986"/>
      <c r="K7" s="986"/>
      <c r="L7" s="986"/>
      <c r="M7" s="986"/>
      <c r="N7" s="986"/>
      <c r="O7" s="986"/>
      <c r="P7" s="986"/>
      <c r="Q7" s="257"/>
      <c r="R7" s="257"/>
      <c r="S7" s="257"/>
    </row>
    <row r="8" spans="1:19">
      <c r="A8" s="982"/>
      <c r="B8" s="982"/>
      <c r="C8" s="982"/>
      <c r="D8" s="1004"/>
      <c r="E8" s="986"/>
      <c r="F8" s="986"/>
      <c r="G8" s="986"/>
      <c r="H8" s="986"/>
      <c r="I8" s="986"/>
      <c r="J8" s="986"/>
      <c r="K8" s="986"/>
      <c r="L8" s="986"/>
      <c r="M8" s="986"/>
      <c r="N8" s="986"/>
      <c r="O8" s="986"/>
      <c r="P8" s="986"/>
      <c r="Q8" s="257"/>
      <c r="R8" s="257"/>
      <c r="S8" s="257"/>
    </row>
    <row r="9" spans="1:19">
      <c r="A9" s="982"/>
      <c r="B9" s="982"/>
      <c r="C9" s="982"/>
      <c r="D9" s="982"/>
      <c r="E9" s="985"/>
      <c r="F9" s="985"/>
      <c r="G9" s="985"/>
      <c r="H9" s="985"/>
      <c r="I9" s="985"/>
      <c r="J9" s="986"/>
      <c r="K9" s="986"/>
      <c r="L9" s="986"/>
      <c r="M9" s="986"/>
      <c r="N9" s="986"/>
      <c r="O9" s="986"/>
      <c r="P9" s="986"/>
      <c r="Q9" s="257"/>
      <c r="R9" s="257"/>
      <c r="S9" s="257"/>
    </row>
    <row r="10" spans="1:19">
      <c r="A10" s="982"/>
      <c r="B10" s="982"/>
      <c r="C10" s="982"/>
      <c r="D10" s="982"/>
      <c r="E10" s="985"/>
      <c r="F10" s="985"/>
      <c r="G10" s="985"/>
      <c r="H10" s="985"/>
      <c r="I10" s="985"/>
      <c r="J10" s="986"/>
      <c r="K10" s="986"/>
      <c r="L10" s="986"/>
      <c r="M10" s="986"/>
      <c r="N10" s="986"/>
      <c r="O10" s="986"/>
      <c r="P10" s="986"/>
      <c r="Q10" s="257"/>
      <c r="R10" s="257"/>
      <c r="S10" s="257"/>
    </row>
    <row r="11" spans="1:19">
      <c r="A11" s="982"/>
      <c r="B11" s="982"/>
      <c r="C11" s="982"/>
      <c r="D11" s="982"/>
      <c r="E11" s="985"/>
      <c r="F11" s="985"/>
      <c r="G11" s="985"/>
      <c r="H11" s="985"/>
      <c r="I11" s="985"/>
      <c r="J11" s="986"/>
      <c r="K11" s="986"/>
      <c r="L11" s="986"/>
      <c r="M11" s="986"/>
      <c r="N11" s="986"/>
      <c r="O11" s="986"/>
      <c r="P11" s="986"/>
      <c r="Q11" s="257"/>
      <c r="R11" s="257"/>
      <c r="S11" s="257"/>
    </row>
    <row r="12" spans="1:19">
      <c r="A12" s="982"/>
      <c r="B12" s="982"/>
      <c r="C12" s="982"/>
      <c r="D12" s="982"/>
      <c r="E12" s="985"/>
      <c r="F12" s="985"/>
      <c r="G12" s="985"/>
      <c r="H12" s="985"/>
      <c r="I12" s="985"/>
      <c r="J12" s="986"/>
      <c r="K12" s="986"/>
      <c r="L12" s="986"/>
      <c r="M12" s="986"/>
      <c r="N12" s="986"/>
      <c r="O12" s="986"/>
      <c r="P12" s="986"/>
      <c r="Q12" s="257"/>
      <c r="R12" s="257"/>
      <c r="S12" s="257"/>
    </row>
    <row r="13" spans="1:19">
      <c r="A13" s="982"/>
      <c r="B13" s="982"/>
      <c r="C13" s="982"/>
      <c r="D13" s="982"/>
      <c r="E13" s="985"/>
      <c r="F13" s="985"/>
      <c r="G13" s="985"/>
      <c r="H13" s="985"/>
      <c r="I13" s="985"/>
      <c r="J13" s="986"/>
      <c r="K13" s="986"/>
      <c r="L13" s="986"/>
      <c r="M13" s="986"/>
      <c r="N13" s="986"/>
      <c r="O13" s="986"/>
      <c r="P13" s="986"/>
      <c r="Q13" s="257"/>
      <c r="R13" s="257"/>
      <c r="S13" s="257"/>
    </row>
    <row r="14" spans="1:19">
      <c r="A14" s="982"/>
      <c r="B14" s="982"/>
      <c r="C14" s="982"/>
      <c r="D14" s="987"/>
      <c r="E14" s="985"/>
      <c r="F14" s="985"/>
      <c r="G14" s="985"/>
      <c r="H14" s="985"/>
      <c r="I14" s="985"/>
      <c r="J14" s="986"/>
      <c r="K14" s="986"/>
      <c r="L14" s="986"/>
      <c r="M14" s="986"/>
      <c r="N14" s="986"/>
      <c r="O14" s="986"/>
      <c r="P14" s="986"/>
      <c r="Q14" s="257"/>
      <c r="R14" s="257"/>
      <c r="S14" s="257"/>
    </row>
    <row r="15" spans="1:19">
      <c r="A15" s="982"/>
      <c r="B15" s="982"/>
      <c r="C15" s="982"/>
      <c r="D15" s="1005"/>
      <c r="E15" s="986"/>
      <c r="F15" s="986"/>
      <c r="G15" s="986"/>
      <c r="H15" s="986"/>
      <c r="I15" s="986"/>
      <c r="J15" s="986"/>
      <c r="K15" s="986"/>
      <c r="L15" s="986"/>
      <c r="M15" s="986"/>
      <c r="N15" s="986"/>
      <c r="O15" s="986"/>
      <c r="P15" s="986"/>
      <c r="Q15" s="257"/>
      <c r="R15" s="257"/>
      <c r="S15" s="257"/>
    </row>
    <row r="16" spans="1:19">
      <c r="A16" s="982"/>
      <c r="B16" s="982"/>
      <c r="C16" s="999"/>
      <c r="D16" s="987"/>
      <c r="E16" s="986"/>
      <c r="F16" s="986"/>
      <c r="G16" s="986"/>
      <c r="H16" s="986"/>
      <c r="I16" s="986"/>
      <c r="J16" s="985"/>
      <c r="K16" s="985"/>
      <c r="L16" s="985"/>
      <c r="M16" s="985"/>
      <c r="N16" s="985"/>
      <c r="O16" s="985"/>
      <c r="P16" s="985"/>
      <c r="Q16" s="257"/>
      <c r="R16" s="257"/>
      <c r="S16" s="257"/>
    </row>
    <row r="17" spans="1:19">
      <c r="A17" s="982"/>
      <c r="B17" s="982"/>
      <c r="C17" s="999"/>
      <c r="D17" s="987"/>
      <c r="E17" s="986"/>
      <c r="F17" s="986"/>
      <c r="G17" s="986"/>
      <c r="H17" s="986"/>
      <c r="I17" s="986"/>
      <c r="J17" s="985"/>
      <c r="K17" s="985"/>
      <c r="L17" s="985"/>
      <c r="M17" s="985"/>
      <c r="N17" s="985"/>
      <c r="O17" s="985"/>
      <c r="P17" s="985"/>
      <c r="Q17" s="257"/>
      <c r="R17" s="257"/>
      <c r="S17" s="257"/>
    </row>
    <row r="18" spans="1:19">
      <c r="A18" s="982"/>
      <c r="B18" s="982"/>
      <c r="C18" s="999"/>
      <c r="D18" s="987"/>
      <c r="E18" s="986"/>
      <c r="F18" s="986"/>
      <c r="G18" s="986"/>
      <c r="H18" s="986"/>
      <c r="I18" s="986"/>
      <c r="J18" s="985"/>
      <c r="K18" s="985"/>
      <c r="L18" s="985"/>
      <c r="M18" s="985"/>
      <c r="N18" s="985"/>
      <c r="O18" s="985"/>
      <c r="P18" s="985"/>
      <c r="Q18" s="257"/>
      <c r="R18" s="257"/>
      <c r="S18" s="257"/>
    </row>
    <row r="19" spans="1:19">
      <c r="A19" s="982"/>
      <c r="B19" s="982"/>
      <c r="C19" s="999"/>
      <c r="D19" s="987"/>
      <c r="E19" s="986"/>
      <c r="F19" s="986"/>
      <c r="G19" s="986"/>
      <c r="H19" s="986"/>
      <c r="I19" s="986"/>
      <c r="J19" s="985"/>
      <c r="K19" s="985"/>
      <c r="L19" s="985"/>
      <c r="M19" s="985"/>
      <c r="N19" s="985"/>
      <c r="O19" s="985"/>
      <c r="P19" s="985"/>
      <c r="Q19" s="257"/>
      <c r="R19" s="257"/>
      <c r="S19" s="257"/>
    </row>
    <row r="20" spans="1:19">
      <c r="A20" s="982"/>
      <c r="B20" s="982"/>
      <c r="C20" s="999"/>
      <c r="D20" s="987"/>
      <c r="E20" s="986"/>
      <c r="F20" s="986"/>
      <c r="G20" s="986"/>
      <c r="H20" s="986"/>
      <c r="I20" s="986"/>
      <c r="J20" s="985"/>
      <c r="K20" s="985"/>
      <c r="L20" s="985"/>
      <c r="M20" s="985"/>
      <c r="N20" s="985"/>
      <c r="O20" s="985"/>
      <c r="P20" s="985"/>
      <c r="Q20" s="257"/>
      <c r="R20" s="257"/>
      <c r="S20" s="257"/>
    </row>
    <row r="21" spans="1:19">
      <c r="A21" s="982"/>
      <c r="B21" s="982"/>
      <c r="C21" s="999"/>
      <c r="D21" s="987"/>
      <c r="E21" s="986"/>
      <c r="F21" s="986"/>
      <c r="G21" s="986"/>
      <c r="H21" s="986"/>
      <c r="I21" s="986"/>
      <c r="J21" s="985"/>
      <c r="K21" s="985"/>
      <c r="L21" s="985"/>
      <c r="M21" s="985"/>
      <c r="N21" s="985"/>
      <c r="O21" s="985"/>
      <c r="P21" s="985"/>
      <c r="Q21" s="257"/>
      <c r="R21" s="257"/>
      <c r="S21" s="257"/>
    </row>
    <row r="22" spans="1:19">
      <c r="A22" s="982"/>
      <c r="B22" s="982"/>
      <c r="C22" s="999"/>
      <c r="D22" s="987"/>
      <c r="E22" s="986"/>
      <c r="F22" s="986"/>
      <c r="G22" s="986"/>
      <c r="H22" s="986"/>
      <c r="I22" s="986"/>
      <c r="J22" s="985"/>
      <c r="K22" s="985"/>
      <c r="L22" s="985"/>
      <c r="M22" s="985"/>
      <c r="N22" s="985"/>
      <c r="O22" s="985"/>
      <c r="P22" s="985"/>
      <c r="Q22" s="257"/>
      <c r="R22" s="257"/>
      <c r="S22" s="257"/>
    </row>
    <row r="23" spans="1:19">
      <c r="A23" s="982"/>
      <c r="B23" s="982"/>
      <c r="C23" s="999"/>
      <c r="D23" s="987"/>
      <c r="E23" s="986"/>
      <c r="F23" s="986"/>
      <c r="G23" s="986"/>
      <c r="H23" s="986"/>
      <c r="I23" s="986"/>
      <c r="J23" s="985"/>
      <c r="K23" s="985"/>
      <c r="L23" s="985"/>
      <c r="M23" s="985"/>
      <c r="N23" s="985"/>
      <c r="O23" s="985"/>
      <c r="P23" s="985"/>
      <c r="Q23" s="257"/>
      <c r="R23" s="257"/>
      <c r="S23" s="257"/>
    </row>
    <row r="24" spans="1:19">
      <c r="A24" s="982"/>
      <c r="B24" s="982"/>
      <c r="C24" s="999"/>
      <c r="D24" s="987"/>
      <c r="E24" s="986"/>
      <c r="F24" s="986"/>
      <c r="G24" s="986"/>
      <c r="H24" s="986"/>
      <c r="I24" s="986"/>
      <c r="J24" s="985"/>
      <c r="K24" s="985"/>
      <c r="L24" s="985"/>
      <c r="M24" s="985"/>
      <c r="N24" s="985"/>
      <c r="O24" s="985"/>
      <c r="P24" s="985"/>
      <c r="Q24" s="257"/>
      <c r="R24" s="257"/>
      <c r="S24" s="257"/>
    </row>
    <row r="25" spans="1:19">
      <c r="A25" s="982"/>
      <c r="B25" s="982"/>
      <c r="C25" s="982"/>
      <c r="D25" s="991"/>
      <c r="E25" s="986"/>
      <c r="F25" s="986"/>
      <c r="G25" s="986"/>
      <c r="H25" s="986"/>
      <c r="I25" s="986"/>
      <c r="J25" s="985"/>
      <c r="K25" s="985"/>
      <c r="L25" s="985"/>
      <c r="M25" s="985"/>
      <c r="N25" s="985"/>
      <c r="O25" s="985"/>
      <c r="P25" s="985"/>
      <c r="Q25" s="257"/>
      <c r="R25" s="257"/>
      <c r="S25" s="257"/>
    </row>
    <row r="26" spans="1:19">
      <c r="A26" s="982"/>
      <c r="B26" s="982"/>
      <c r="C26" s="982"/>
      <c r="D26" s="982"/>
      <c r="E26" s="985"/>
      <c r="F26" s="985"/>
      <c r="G26" s="985"/>
      <c r="H26" s="985"/>
      <c r="I26" s="985"/>
      <c r="J26" s="985"/>
      <c r="K26" s="985"/>
      <c r="L26" s="985"/>
      <c r="M26" s="985"/>
      <c r="N26" s="985"/>
      <c r="O26" s="985"/>
      <c r="P26" s="985"/>
    </row>
    <row r="27" spans="1:19">
      <c r="A27" s="982"/>
      <c r="B27" s="982"/>
      <c r="C27" s="982"/>
      <c r="D27" s="982"/>
      <c r="E27" s="985"/>
      <c r="F27" s="985"/>
      <c r="G27" s="985"/>
      <c r="H27" s="985"/>
      <c r="I27" s="985"/>
      <c r="J27" s="985"/>
      <c r="K27" s="985"/>
      <c r="L27" s="985"/>
      <c r="M27" s="985"/>
      <c r="N27" s="985"/>
      <c r="O27" s="985"/>
      <c r="P27" s="985"/>
      <c r="Q27" s="254"/>
    </row>
    <row r="28" spans="1:19">
      <c r="E28" s="254"/>
      <c r="F28" s="254"/>
      <c r="G28" s="254"/>
      <c r="H28" s="254"/>
      <c r="I28" s="254"/>
      <c r="J28" s="254"/>
      <c r="K28" s="254"/>
      <c r="L28" s="254"/>
      <c r="M28" s="254"/>
      <c r="N28" s="254"/>
      <c r="O28" s="254"/>
    </row>
    <row r="29" spans="1:19">
      <c r="A29" s="982"/>
      <c r="B29" s="982"/>
      <c r="C29" s="982"/>
      <c r="D29" s="982"/>
      <c r="E29" s="985"/>
      <c r="F29" s="985"/>
      <c r="G29" s="985"/>
      <c r="H29" s="985"/>
      <c r="I29" s="985"/>
      <c r="J29" s="986"/>
      <c r="K29" s="986"/>
      <c r="L29" s="986"/>
      <c r="M29" s="986"/>
      <c r="N29" s="986"/>
      <c r="O29" s="986"/>
      <c r="P29" s="986"/>
      <c r="Q29" s="257"/>
      <c r="R29" s="257"/>
      <c r="S29" s="257"/>
    </row>
    <row r="30" spans="1:19">
      <c r="A30" s="982"/>
      <c r="B30" s="982"/>
      <c r="C30" s="982"/>
      <c r="D30" s="982"/>
      <c r="E30" s="985"/>
      <c r="F30" s="985"/>
      <c r="G30" s="985"/>
      <c r="H30" s="985"/>
      <c r="I30" s="985"/>
      <c r="J30" s="986"/>
      <c r="K30" s="986"/>
      <c r="L30" s="986"/>
      <c r="M30" s="986"/>
      <c r="N30" s="986"/>
      <c r="O30" s="986"/>
      <c r="P30" s="986"/>
      <c r="Q30" s="257"/>
      <c r="R30" s="257"/>
      <c r="S30" s="257"/>
    </row>
    <row r="31" spans="1:19">
      <c r="A31" s="982"/>
      <c r="B31" s="982"/>
      <c r="C31" s="982"/>
      <c r="D31" s="982"/>
      <c r="E31" s="985"/>
      <c r="F31" s="985"/>
      <c r="G31" s="985"/>
      <c r="H31" s="985"/>
      <c r="I31" s="985"/>
      <c r="J31" s="986"/>
      <c r="K31" s="986"/>
      <c r="L31" s="986"/>
      <c r="M31" s="986"/>
      <c r="N31" s="986"/>
      <c r="O31" s="986"/>
      <c r="P31" s="986"/>
      <c r="Q31" s="257"/>
      <c r="R31" s="257"/>
      <c r="S31" s="257"/>
    </row>
    <row r="32" spans="1:19">
      <c r="A32" s="982"/>
      <c r="B32" s="982"/>
      <c r="C32" s="982"/>
      <c r="D32" s="982"/>
      <c r="E32" s="985"/>
      <c r="F32" s="985"/>
      <c r="G32" s="985"/>
      <c r="H32" s="985"/>
      <c r="I32" s="985"/>
      <c r="J32" s="986"/>
      <c r="K32" s="986"/>
      <c r="L32" s="986"/>
      <c r="M32" s="986"/>
      <c r="N32" s="986"/>
      <c r="O32" s="986"/>
      <c r="P32" s="986"/>
      <c r="Q32" s="257"/>
      <c r="R32" s="257"/>
      <c r="S32" s="257"/>
    </row>
    <row r="33" spans="1:19">
      <c r="A33" s="982"/>
      <c r="B33" s="982"/>
      <c r="C33" s="982"/>
      <c r="D33" s="982"/>
      <c r="E33" s="985"/>
      <c r="F33" s="985"/>
      <c r="G33" s="985"/>
      <c r="H33" s="985"/>
      <c r="I33" s="985"/>
      <c r="J33" s="986"/>
      <c r="K33" s="986"/>
      <c r="L33" s="986"/>
      <c r="M33" s="986"/>
      <c r="N33" s="986"/>
      <c r="O33" s="986"/>
      <c r="P33" s="986"/>
      <c r="Q33" s="257"/>
      <c r="R33" s="257"/>
      <c r="S33" s="257"/>
    </row>
    <row r="34" spans="1:19">
      <c r="A34" s="982"/>
      <c r="B34" s="982"/>
      <c r="C34" s="982"/>
      <c r="D34" s="1004"/>
      <c r="E34" s="986"/>
      <c r="F34" s="986"/>
      <c r="G34" s="986"/>
      <c r="H34" s="986"/>
      <c r="I34" s="986"/>
      <c r="J34" s="986"/>
      <c r="K34" s="986"/>
      <c r="L34" s="986"/>
      <c r="M34" s="986"/>
      <c r="N34" s="986"/>
      <c r="O34" s="986"/>
      <c r="P34" s="986"/>
      <c r="Q34" s="257"/>
      <c r="R34" s="257"/>
      <c r="S34" s="257"/>
    </row>
    <row r="35" spans="1:19">
      <c r="A35" s="982"/>
      <c r="B35" s="982"/>
      <c r="C35" s="982"/>
      <c r="D35" s="982"/>
      <c r="E35" s="985"/>
      <c r="F35" s="985"/>
      <c r="G35" s="985"/>
      <c r="H35" s="985"/>
      <c r="I35" s="985"/>
      <c r="J35" s="986"/>
      <c r="K35" s="986"/>
      <c r="L35" s="986"/>
      <c r="M35" s="986"/>
      <c r="N35" s="986"/>
      <c r="O35" s="986"/>
      <c r="P35" s="986"/>
      <c r="Q35" s="257"/>
      <c r="R35" s="257"/>
      <c r="S35" s="257"/>
    </row>
    <row r="36" spans="1:19">
      <c r="A36" s="982"/>
      <c r="B36" s="982"/>
      <c r="C36" s="982"/>
      <c r="D36" s="982"/>
      <c r="E36" s="985"/>
      <c r="F36" s="985"/>
      <c r="G36" s="985"/>
      <c r="H36" s="985"/>
      <c r="I36" s="985"/>
      <c r="J36" s="986"/>
      <c r="K36" s="986"/>
      <c r="L36" s="986"/>
      <c r="M36" s="986"/>
      <c r="N36" s="986"/>
      <c r="O36" s="986"/>
      <c r="P36" s="986"/>
      <c r="Q36" s="257"/>
      <c r="R36" s="257"/>
      <c r="S36" s="257"/>
    </row>
    <row r="37" spans="1:19">
      <c r="A37" s="982"/>
      <c r="B37" s="982"/>
      <c r="C37" s="982"/>
      <c r="D37" s="1004"/>
      <c r="E37" s="986"/>
      <c r="F37" s="986"/>
      <c r="G37" s="986"/>
      <c r="H37" s="986"/>
      <c r="I37" s="986"/>
      <c r="J37" s="986"/>
      <c r="K37" s="986"/>
      <c r="L37" s="986"/>
      <c r="M37" s="986"/>
      <c r="N37" s="986"/>
      <c r="O37" s="986"/>
      <c r="P37" s="986"/>
      <c r="Q37" s="257"/>
      <c r="R37" s="257"/>
      <c r="S37" s="257"/>
    </row>
    <row r="38" spans="1:19">
      <c r="A38" s="982"/>
      <c r="B38" s="982"/>
      <c r="C38" s="982"/>
      <c r="D38" s="982"/>
      <c r="E38" s="985"/>
      <c r="F38" s="985"/>
      <c r="G38" s="985"/>
      <c r="H38" s="985"/>
      <c r="I38" s="985"/>
      <c r="J38" s="986"/>
      <c r="K38" s="986"/>
      <c r="L38" s="986"/>
      <c r="M38" s="986"/>
      <c r="N38" s="986"/>
      <c r="O38" s="986"/>
      <c r="P38" s="986"/>
      <c r="Q38" s="257"/>
      <c r="R38" s="257"/>
      <c r="S38" s="257"/>
    </row>
    <row r="39" spans="1:19">
      <c r="A39" s="982"/>
      <c r="B39" s="982"/>
      <c r="C39" s="982"/>
      <c r="D39" s="982"/>
      <c r="E39" s="985"/>
      <c r="F39" s="985"/>
      <c r="G39" s="985"/>
      <c r="H39" s="985"/>
      <c r="I39" s="985"/>
      <c r="J39" s="986"/>
      <c r="K39" s="986"/>
      <c r="L39" s="986"/>
      <c r="M39" s="986"/>
      <c r="N39" s="986"/>
      <c r="O39" s="986"/>
      <c r="P39" s="986"/>
      <c r="Q39" s="257"/>
      <c r="R39" s="257"/>
      <c r="S39" s="257"/>
    </row>
    <row r="40" spans="1:19">
      <c r="A40" s="982"/>
      <c r="B40" s="982"/>
      <c r="C40" s="982"/>
      <c r="D40" s="987"/>
      <c r="E40" s="985"/>
      <c r="F40" s="985"/>
      <c r="G40" s="985"/>
      <c r="H40" s="985"/>
      <c r="I40" s="985"/>
      <c r="J40" s="986"/>
      <c r="K40" s="986"/>
      <c r="L40" s="986"/>
      <c r="M40" s="986"/>
      <c r="N40" s="986"/>
      <c r="O40" s="986"/>
      <c r="P40" s="986"/>
      <c r="Q40" s="257"/>
      <c r="R40" s="257"/>
      <c r="S40" s="257"/>
    </row>
    <row r="41" spans="1:19">
      <c r="A41" s="982"/>
      <c r="B41" s="982"/>
      <c r="C41" s="982"/>
      <c r="D41" s="1005"/>
      <c r="E41" s="986"/>
      <c r="F41" s="986"/>
      <c r="G41" s="986"/>
      <c r="H41" s="986"/>
      <c r="I41" s="986"/>
      <c r="J41" s="986"/>
      <c r="K41" s="986"/>
      <c r="L41" s="986"/>
      <c r="M41" s="986"/>
      <c r="N41" s="986"/>
      <c r="O41" s="986"/>
      <c r="P41" s="986"/>
      <c r="Q41" s="257"/>
      <c r="R41" s="257"/>
      <c r="S41" s="257"/>
    </row>
    <row r="42" spans="1:19">
      <c r="A42" s="982"/>
      <c r="B42" s="982"/>
      <c r="C42" s="982"/>
      <c r="D42" s="987"/>
      <c r="E42" s="986"/>
      <c r="F42" s="986"/>
      <c r="G42" s="986"/>
      <c r="H42" s="986"/>
      <c r="I42" s="986"/>
      <c r="J42" s="985"/>
      <c r="K42" s="985"/>
      <c r="L42" s="985"/>
      <c r="M42" s="985"/>
      <c r="N42" s="985"/>
      <c r="O42" s="985"/>
      <c r="P42" s="985"/>
      <c r="Q42" s="257"/>
      <c r="R42" s="257"/>
      <c r="S42" s="257"/>
    </row>
    <row r="43" spans="1:19">
      <c r="A43" s="982"/>
      <c r="B43" s="982"/>
      <c r="C43" s="982"/>
      <c r="D43" s="987"/>
      <c r="E43" s="986"/>
      <c r="F43" s="986"/>
      <c r="G43" s="986"/>
      <c r="H43" s="986"/>
      <c r="I43" s="986"/>
      <c r="J43" s="985"/>
      <c r="K43" s="985"/>
      <c r="L43" s="985"/>
      <c r="M43" s="985"/>
      <c r="N43" s="985"/>
      <c r="O43" s="985"/>
      <c r="P43" s="985"/>
      <c r="Q43" s="257"/>
      <c r="R43" s="257"/>
      <c r="S43" s="257"/>
    </row>
    <row r="44" spans="1:19">
      <c r="A44" s="982"/>
      <c r="B44" s="982"/>
      <c r="C44" s="982"/>
      <c r="D44" s="987"/>
      <c r="E44" s="986"/>
      <c r="F44" s="986"/>
      <c r="G44" s="986"/>
      <c r="H44" s="986"/>
      <c r="I44" s="986"/>
      <c r="J44" s="985"/>
      <c r="K44" s="985"/>
      <c r="L44" s="985"/>
      <c r="M44" s="985"/>
      <c r="N44" s="985"/>
      <c r="O44" s="985"/>
      <c r="P44" s="985"/>
      <c r="Q44" s="257"/>
      <c r="R44" s="257"/>
      <c r="S44" s="257"/>
    </row>
    <row r="45" spans="1:19">
      <c r="A45" s="982"/>
      <c r="B45" s="982"/>
      <c r="C45" s="982"/>
      <c r="D45" s="987"/>
      <c r="E45" s="986"/>
      <c r="F45" s="986"/>
      <c r="G45" s="986"/>
      <c r="H45" s="986"/>
      <c r="I45" s="986"/>
      <c r="J45" s="985"/>
      <c r="K45" s="985"/>
      <c r="L45" s="985"/>
      <c r="M45" s="985"/>
      <c r="N45" s="985"/>
      <c r="O45" s="985"/>
      <c r="P45" s="985"/>
      <c r="Q45" s="257"/>
      <c r="R45" s="257"/>
      <c r="S45" s="257"/>
    </row>
    <row r="46" spans="1:19">
      <c r="A46" s="982"/>
      <c r="B46" s="982"/>
      <c r="C46" s="982"/>
      <c r="D46" s="987"/>
      <c r="E46" s="986"/>
      <c r="F46" s="986"/>
      <c r="G46" s="986"/>
      <c r="H46" s="986"/>
      <c r="I46" s="986"/>
      <c r="J46" s="985"/>
      <c r="K46" s="985"/>
      <c r="L46" s="985"/>
      <c r="M46" s="985"/>
      <c r="N46" s="985"/>
      <c r="O46" s="985"/>
      <c r="P46" s="985"/>
      <c r="Q46" s="257"/>
      <c r="R46" s="257"/>
      <c r="S46" s="257"/>
    </row>
    <row r="47" spans="1:19">
      <c r="A47" s="982"/>
      <c r="B47" s="982"/>
      <c r="C47" s="982"/>
      <c r="D47" s="987"/>
      <c r="E47" s="986"/>
      <c r="F47" s="986"/>
      <c r="G47" s="986"/>
      <c r="H47" s="986"/>
      <c r="I47" s="986"/>
      <c r="J47" s="985"/>
      <c r="K47" s="985"/>
      <c r="L47" s="985"/>
      <c r="M47" s="985"/>
      <c r="N47" s="985"/>
      <c r="O47" s="985"/>
      <c r="P47" s="985"/>
      <c r="Q47" s="257"/>
      <c r="R47" s="257"/>
      <c r="S47" s="257"/>
    </row>
    <row r="48" spans="1:19">
      <c r="A48" s="982"/>
      <c r="B48" s="982"/>
      <c r="C48" s="982"/>
      <c r="D48" s="987"/>
      <c r="E48" s="986"/>
      <c r="F48" s="986"/>
      <c r="G48" s="986"/>
      <c r="H48" s="986"/>
      <c r="I48" s="986"/>
      <c r="J48" s="985"/>
      <c r="K48" s="985"/>
      <c r="L48" s="985"/>
      <c r="M48" s="985"/>
      <c r="N48" s="985"/>
      <c r="O48" s="985"/>
      <c r="P48" s="985"/>
      <c r="Q48" s="257"/>
      <c r="R48" s="257"/>
      <c r="S48" s="257"/>
    </row>
    <row r="49" spans="1:19">
      <c r="A49" s="982"/>
      <c r="B49" s="982"/>
      <c r="C49" s="982"/>
      <c r="D49" s="987"/>
      <c r="E49" s="986"/>
      <c r="F49" s="986"/>
      <c r="G49" s="986"/>
      <c r="H49" s="986"/>
      <c r="I49" s="986"/>
      <c r="J49" s="985"/>
      <c r="K49" s="985"/>
      <c r="L49" s="985"/>
      <c r="M49" s="985"/>
      <c r="N49" s="985"/>
      <c r="O49" s="985"/>
      <c r="P49" s="985"/>
      <c r="Q49" s="257"/>
      <c r="R49" s="257"/>
      <c r="S49" s="257"/>
    </row>
    <row r="50" spans="1:19">
      <c r="A50" s="982"/>
      <c r="B50" s="982"/>
      <c r="C50" s="982"/>
      <c r="D50" s="987"/>
      <c r="E50" s="986"/>
      <c r="F50" s="986"/>
      <c r="G50" s="986"/>
      <c r="H50" s="986"/>
      <c r="I50" s="986"/>
      <c r="J50" s="985"/>
      <c r="K50" s="985"/>
      <c r="L50" s="985"/>
      <c r="M50" s="985"/>
      <c r="N50" s="985"/>
      <c r="O50" s="985"/>
      <c r="P50" s="985"/>
      <c r="Q50" s="257"/>
      <c r="R50" s="257"/>
      <c r="S50" s="257"/>
    </row>
    <row r="51" spans="1:19">
      <c r="A51" s="982"/>
      <c r="B51" s="982"/>
      <c r="C51" s="982"/>
      <c r="D51" s="987"/>
      <c r="E51" s="985"/>
      <c r="F51" s="985"/>
      <c r="G51" s="985"/>
      <c r="H51" s="985"/>
      <c r="I51" s="985"/>
      <c r="J51" s="985"/>
      <c r="K51" s="985"/>
      <c r="L51" s="985"/>
      <c r="M51" s="985"/>
      <c r="N51" s="985"/>
      <c r="O51" s="985"/>
      <c r="P51" s="985"/>
      <c r="Q51" s="257"/>
      <c r="R51" s="257"/>
      <c r="S51" s="257"/>
    </row>
    <row r="52" spans="1:19">
      <c r="A52" s="982"/>
      <c r="B52" s="982"/>
      <c r="C52" s="982"/>
      <c r="D52" s="982"/>
      <c r="E52" s="985"/>
      <c r="F52" s="985"/>
      <c r="G52" s="985"/>
      <c r="H52" s="985"/>
      <c r="I52" s="985"/>
      <c r="J52" s="985"/>
      <c r="K52" s="985"/>
      <c r="L52" s="985"/>
      <c r="M52" s="985"/>
      <c r="N52" s="985"/>
      <c r="O52" s="985"/>
      <c r="P52" s="985"/>
    </row>
    <row r="53" spans="1:19">
      <c r="A53" s="982"/>
      <c r="B53" s="982"/>
      <c r="C53" s="982"/>
      <c r="D53" s="982"/>
      <c r="E53" s="985"/>
      <c r="F53" s="985"/>
      <c r="G53" s="985"/>
      <c r="H53" s="985"/>
      <c r="I53" s="985"/>
      <c r="J53" s="985"/>
      <c r="K53" s="985"/>
      <c r="L53" s="985"/>
      <c r="M53" s="985"/>
      <c r="N53" s="985"/>
      <c r="O53" s="985"/>
      <c r="P53" s="985"/>
      <c r="Q53" s="254"/>
    </row>
    <row r="54" spans="1:19">
      <c r="K54" s="254"/>
    </row>
    <row r="55" spans="1:19">
      <c r="D55" s="982"/>
      <c r="E55" s="985"/>
      <c r="F55" s="985"/>
      <c r="G55" s="985"/>
      <c r="H55" s="985"/>
      <c r="I55" s="985"/>
      <c r="J55" s="985"/>
      <c r="K55" s="985"/>
      <c r="L55" s="985"/>
      <c r="M55" s="985"/>
      <c r="N55" s="985"/>
      <c r="O55" s="985"/>
      <c r="P55" s="985"/>
    </row>
    <row r="56" spans="1:19">
      <c r="D56" s="982"/>
      <c r="E56" s="985"/>
      <c r="F56" s="985"/>
      <c r="G56" s="985"/>
      <c r="H56" s="985"/>
      <c r="I56" s="985"/>
      <c r="J56" s="985"/>
      <c r="K56" s="985"/>
      <c r="L56" s="985"/>
      <c r="M56" s="985"/>
      <c r="N56" s="985"/>
      <c r="O56" s="985"/>
      <c r="P56" s="985"/>
    </row>
    <row r="57" spans="1:19">
      <c r="D57" s="984"/>
      <c r="E57" s="996"/>
      <c r="F57" s="996"/>
      <c r="G57" s="996"/>
      <c r="H57" s="996"/>
      <c r="I57" s="996"/>
      <c r="J57" s="996"/>
      <c r="K57" s="996"/>
      <c r="L57" s="996"/>
      <c r="M57" s="996"/>
      <c r="N57" s="996"/>
      <c r="O57" s="996"/>
      <c r="P57" s="996"/>
      <c r="Q57" s="254"/>
    </row>
    <row r="59" spans="1:19">
      <c r="D59" s="260"/>
      <c r="E59" s="258"/>
      <c r="F59" s="258"/>
      <c r="G59" s="258"/>
      <c r="H59" s="258"/>
      <c r="I59" s="258"/>
      <c r="J59" s="258"/>
      <c r="K59" s="258"/>
      <c r="L59" s="258"/>
      <c r="M59" s="258"/>
      <c r="N59" s="258"/>
      <c r="O59" s="258"/>
      <c r="P59" s="258"/>
      <c r="Q59" s="258"/>
    </row>
    <row r="60" spans="1:19">
      <c r="D60" s="260"/>
      <c r="E60" s="258"/>
      <c r="Q60" s="258"/>
    </row>
    <row r="62" spans="1:19">
      <c r="Q62" s="258"/>
    </row>
  </sheetData>
  <pageMargins left="0.11811023622047245" right="0.11811023622047245" top="0.59055118110236227" bottom="0.39370078740157483" header="0.31496062992125984" footer="0.31496062992125984"/>
  <pageSetup paperSize="9" scale="85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A220D1-7441-421F-AFBB-A417CD9C65F1}">
  <dimension ref="A1:H258"/>
  <sheetViews>
    <sheetView workbookViewId="0">
      <selection activeCell="E1" sqref="E1:E1048576"/>
    </sheetView>
  </sheetViews>
  <sheetFormatPr defaultColWidth="11.42578125" defaultRowHeight="14.45"/>
  <cols>
    <col min="1" max="1" width="5.85546875" customWidth="1"/>
    <col min="2" max="2" width="0" hidden="1" customWidth="1"/>
    <col min="3" max="3" width="6.85546875" customWidth="1"/>
    <col min="4" max="4" width="31.28515625" customWidth="1"/>
    <col min="5" max="5" width="9.5703125" customWidth="1"/>
    <col min="6" max="14" width="9.7109375" customWidth="1"/>
  </cols>
  <sheetData>
    <row r="1" spans="1:8">
      <c r="A1" s="6" t="s">
        <v>1155</v>
      </c>
    </row>
    <row r="3" spans="1:8" s="253" customFormat="1" ht="25.9" customHeight="1">
      <c r="A3" s="982" t="s">
        <v>1156</v>
      </c>
      <c r="B3" s="982"/>
      <c r="C3" s="998" t="s">
        <v>1157</v>
      </c>
      <c r="D3" s="982"/>
      <c r="E3" s="983"/>
    </row>
    <row r="4" spans="1:8" s="253" customFormat="1" ht="19.899999999999999" customHeight="1">
      <c r="A4" s="1006">
        <v>45931</v>
      </c>
      <c r="B4" s="982" t="s">
        <v>1158</v>
      </c>
      <c r="C4" s="982" t="s">
        <v>148</v>
      </c>
      <c r="D4" s="982"/>
      <c r="E4" s="992"/>
      <c r="F4" s="257"/>
      <c r="G4" s="257"/>
      <c r="H4" s="257"/>
    </row>
    <row r="5" spans="1:8" s="253" customFormat="1" ht="19.899999999999999" customHeight="1">
      <c r="A5" s="492"/>
      <c r="B5" s="982"/>
      <c r="C5" s="982" t="s">
        <v>148</v>
      </c>
      <c r="D5" s="982"/>
      <c r="E5" s="992"/>
      <c r="F5" s="257"/>
      <c r="G5" s="257"/>
      <c r="H5" s="257"/>
    </row>
    <row r="6" spans="1:8" s="253" customFormat="1" ht="19.899999999999999" customHeight="1">
      <c r="A6" s="492"/>
      <c r="B6" s="982"/>
      <c r="C6" s="982" t="s">
        <v>148</v>
      </c>
      <c r="D6" s="982"/>
      <c r="E6" s="992"/>
      <c r="F6" s="257"/>
      <c r="G6" s="257"/>
      <c r="H6" s="257"/>
    </row>
    <row r="7" spans="1:8" s="253" customFormat="1" ht="19.899999999999999" customHeight="1">
      <c r="A7" s="492"/>
      <c r="B7" s="982"/>
      <c r="C7" s="982" t="s">
        <v>148</v>
      </c>
      <c r="D7" s="982"/>
      <c r="E7" s="992"/>
      <c r="F7" s="257"/>
      <c r="G7" s="257"/>
      <c r="H7" s="257"/>
    </row>
    <row r="8" spans="1:8" s="253" customFormat="1" ht="19.899999999999999" customHeight="1">
      <c r="A8" s="493"/>
      <c r="B8" s="982" t="s">
        <v>1159</v>
      </c>
      <c r="C8" s="982" t="s">
        <v>148</v>
      </c>
      <c r="D8" s="982"/>
      <c r="E8" s="992"/>
      <c r="F8" s="257"/>
      <c r="G8" s="257"/>
      <c r="H8" s="257"/>
    </row>
    <row r="9" spans="1:8" s="253" customFormat="1" ht="19.899999999999999" customHeight="1">
      <c r="A9" s="493"/>
      <c r="B9" s="982"/>
      <c r="C9" s="982" t="s">
        <v>148</v>
      </c>
      <c r="D9" s="982"/>
      <c r="E9" s="992"/>
      <c r="F9" s="257"/>
      <c r="G9" s="257"/>
      <c r="H9" s="257"/>
    </row>
    <row r="10" spans="1:8" s="253" customFormat="1" ht="19.899999999999999" customHeight="1">
      <c r="A10" s="493"/>
      <c r="B10" s="982"/>
      <c r="C10" s="982" t="s">
        <v>148</v>
      </c>
      <c r="D10" s="982"/>
      <c r="E10" s="992"/>
      <c r="F10" s="257"/>
      <c r="G10" s="257"/>
      <c r="H10" s="257"/>
    </row>
    <row r="11" spans="1:8" s="253" customFormat="1" ht="19.899999999999999" customHeight="1">
      <c r="A11" s="493"/>
      <c r="B11" s="982"/>
      <c r="C11" s="982" t="s">
        <v>148</v>
      </c>
      <c r="D11" s="982"/>
      <c r="E11" s="992"/>
      <c r="F11" s="257"/>
      <c r="G11" s="257"/>
      <c r="H11" s="257"/>
    </row>
    <row r="12" spans="1:8" s="253" customFormat="1" ht="19.899999999999999" customHeight="1">
      <c r="A12" s="493"/>
      <c r="B12" s="982"/>
      <c r="C12" s="982" t="s">
        <v>148</v>
      </c>
      <c r="D12" s="982"/>
      <c r="E12" s="992"/>
      <c r="F12" s="257"/>
      <c r="G12" s="257"/>
      <c r="H12" s="257"/>
    </row>
    <row r="13" spans="1:8" s="253" customFormat="1" ht="19.899999999999999" customHeight="1">
      <c r="A13" s="493"/>
      <c r="B13" s="982"/>
      <c r="C13" s="982" t="s">
        <v>148</v>
      </c>
      <c r="D13" s="982"/>
      <c r="E13" s="992"/>
      <c r="F13" s="257"/>
      <c r="G13" s="257"/>
      <c r="H13" s="257"/>
    </row>
    <row r="14" spans="1:8" s="253" customFormat="1" ht="19.899999999999999" customHeight="1">
      <c r="A14" s="493"/>
      <c r="B14" s="982"/>
      <c r="C14" s="982" t="s">
        <v>148</v>
      </c>
      <c r="D14" s="982"/>
      <c r="E14" s="992"/>
      <c r="F14" s="257"/>
      <c r="G14" s="257"/>
      <c r="H14" s="257"/>
    </row>
    <row r="15" spans="1:8" s="253" customFormat="1" ht="19.899999999999999" customHeight="1">
      <c r="A15" s="493"/>
      <c r="B15" s="982"/>
      <c r="C15" s="982" t="s">
        <v>148</v>
      </c>
      <c r="D15" s="982"/>
      <c r="E15" s="992"/>
      <c r="F15" s="257"/>
      <c r="G15" s="257"/>
      <c r="H15" s="257"/>
    </row>
    <row r="16" spans="1:8" s="253" customFormat="1" ht="19.899999999999999" customHeight="1">
      <c r="A16" s="493"/>
      <c r="B16" s="982"/>
      <c r="C16" s="982" t="s">
        <v>148</v>
      </c>
      <c r="D16" s="982"/>
      <c r="E16" s="992"/>
      <c r="F16" s="257"/>
      <c r="G16" s="257"/>
      <c r="H16" s="257"/>
    </row>
    <row r="17" spans="1:8" s="253" customFormat="1" ht="19.899999999999999" customHeight="1">
      <c r="A17" s="493"/>
      <c r="B17" s="982"/>
      <c r="C17" s="982"/>
      <c r="D17" s="982"/>
      <c r="E17" s="992"/>
      <c r="F17" s="257"/>
      <c r="G17" s="257"/>
      <c r="H17" s="257"/>
    </row>
    <row r="18" spans="1:8" s="253" customFormat="1" ht="19.899999999999999" customHeight="1">
      <c r="A18" s="1007"/>
      <c r="B18" s="982"/>
      <c r="C18" s="982"/>
      <c r="D18" s="984"/>
      <c r="E18" s="992"/>
      <c r="F18" s="994">
        <f>SUM(E4:E17)</f>
        <v>0</v>
      </c>
      <c r="G18" s="257"/>
      <c r="H18" s="257"/>
    </row>
    <row r="19" spans="1:8" s="253" customFormat="1" ht="19.899999999999999" customHeight="1">
      <c r="A19" s="1006">
        <v>45962</v>
      </c>
      <c r="B19" s="982"/>
      <c r="C19" s="982" t="s">
        <v>148</v>
      </c>
      <c r="D19" s="982"/>
      <c r="E19" s="992"/>
      <c r="F19" s="252"/>
      <c r="G19" s="257"/>
      <c r="H19" s="257"/>
    </row>
    <row r="20" spans="1:8" s="253" customFormat="1" ht="19.899999999999999" customHeight="1">
      <c r="A20" s="492"/>
      <c r="B20" s="982"/>
      <c r="C20" s="982" t="s">
        <v>148</v>
      </c>
      <c r="D20" s="982"/>
      <c r="E20" s="992"/>
      <c r="F20" s="252"/>
      <c r="G20" s="257"/>
      <c r="H20" s="257"/>
    </row>
    <row r="21" spans="1:8" s="253" customFormat="1" ht="19.899999999999999" customHeight="1">
      <c r="A21" s="492"/>
      <c r="B21" s="982"/>
      <c r="C21" s="982" t="s">
        <v>148</v>
      </c>
      <c r="D21" s="982"/>
      <c r="E21" s="992"/>
      <c r="F21" s="252"/>
      <c r="G21" s="257"/>
      <c r="H21" s="257"/>
    </row>
    <row r="22" spans="1:8" s="253" customFormat="1" ht="19.899999999999999" customHeight="1">
      <c r="A22" s="492"/>
      <c r="B22" s="982"/>
      <c r="C22" s="982" t="s">
        <v>148</v>
      </c>
      <c r="D22" s="982"/>
      <c r="E22" s="992"/>
      <c r="F22" s="252"/>
      <c r="G22" s="257"/>
      <c r="H22" s="257"/>
    </row>
    <row r="23" spans="1:8" s="253" customFormat="1" ht="19.899999999999999" customHeight="1">
      <c r="A23" s="492"/>
      <c r="B23" s="982"/>
      <c r="C23" s="982" t="s">
        <v>148</v>
      </c>
      <c r="D23" s="982"/>
      <c r="E23" s="992"/>
      <c r="F23" s="252"/>
      <c r="G23" s="257"/>
      <c r="H23" s="257"/>
    </row>
    <row r="24" spans="1:8" s="253" customFormat="1" ht="19.899999999999999" customHeight="1">
      <c r="A24" s="492"/>
      <c r="B24" s="982"/>
      <c r="C24" s="982" t="s">
        <v>148</v>
      </c>
      <c r="D24" s="982"/>
      <c r="E24" s="992"/>
      <c r="F24" s="252"/>
      <c r="G24" s="257"/>
      <c r="H24" s="257"/>
    </row>
    <row r="25" spans="1:8" s="253" customFormat="1" ht="19.899999999999999" customHeight="1">
      <c r="A25" s="492"/>
      <c r="B25" s="982"/>
      <c r="C25" s="982" t="s">
        <v>148</v>
      </c>
      <c r="D25" s="982"/>
      <c r="E25" s="992"/>
      <c r="F25" s="252"/>
      <c r="G25" s="257"/>
      <c r="H25" s="257"/>
    </row>
    <row r="26" spans="1:8" s="253" customFormat="1" ht="19.899999999999999" customHeight="1">
      <c r="A26" s="492"/>
      <c r="B26" s="982"/>
      <c r="C26" s="982" t="s">
        <v>148</v>
      </c>
      <c r="D26" s="982"/>
      <c r="E26" s="992"/>
      <c r="F26" s="252"/>
      <c r="G26" s="257"/>
      <c r="H26" s="257"/>
    </row>
    <row r="27" spans="1:8" s="253" customFormat="1" ht="19.899999999999999" customHeight="1">
      <c r="A27" s="492"/>
      <c r="B27" s="982"/>
      <c r="C27" s="982" t="s">
        <v>148</v>
      </c>
      <c r="D27" s="982"/>
      <c r="E27" s="992"/>
      <c r="F27" s="252"/>
      <c r="G27" s="257"/>
      <c r="H27" s="257"/>
    </row>
    <row r="28" spans="1:8" s="253" customFormat="1" ht="19.899999999999999" customHeight="1">
      <c r="A28" s="492"/>
      <c r="B28" s="982"/>
      <c r="C28" s="982" t="s">
        <v>148</v>
      </c>
      <c r="D28" s="982"/>
      <c r="E28" s="992"/>
      <c r="F28" s="252"/>
      <c r="G28" s="257"/>
      <c r="H28" s="257"/>
    </row>
    <row r="29" spans="1:8" s="253" customFormat="1" ht="19.899999999999999" customHeight="1">
      <c r="A29" s="492"/>
      <c r="B29" s="982"/>
      <c r="C29" s="982" t="s">
        <v>148</v>
      </c>
      <c r="D29" s="982"/>
      <c r="E29" s="992"/>
      <c r="F29" s="252"/>
      <c r="G29" s="257"/>
      <c r="H29" s="257"/>
    </row>
    <row r="30" spans="1:8" s="253" customFormat="1" ht="19.899999999999999" customHeight="1">
      <c r="A30" s="492"/>
      <c r="B30" s="982"/>
      <c r="C30" s="982"/>
      <c r="D30" s="984"/>
      <c r="E30" s="992"/>
      <c r="F30" s="252"/>
      <c r="G30" s="257"/>
      <c r="H30" s="257"/>
    </row>
    <row r="31" spans="1:8" s="253" customFormat="1" ht="19.899999999999999" customHeight="1">
      <c r="A31" s="492"/>
      <c r="B31" s="982"/>
      <c r="C31" s="982"/>
      <c r="D31" s="984"/>
      <c r="E31" s="992"/>
      <c r="F31" s="252"/>
      <c r="G31" s="257"/>
      <c r="H31" s="257"/>
    </row>
    <row r="32" spans="1:8" s="253" customFormat="1" ht="19.899999999999999" customHeight="1">
      <c r="A32" s="492"/>
      <c r="B32" s="982"/>
      <c r="C32" s="982"/>
      <c r="D32" s="984"/>
      <c r="E32" s="992"/>
      <c r="F32" s="252"/>
      <c r="G32" s="257"/>
      <c r="H32" s="257"/>
    </row>
    <row r="33" spans="1:8" s="253" customFormat="1" ht="19.899999999999999" customHeight="1" thickBot="1">
      <c r="A33" s="492"/>
      <c r="B33" s="982"/>
      <c r="C33" s="982"/>
      <c r="D33" s="1008"/>
      <c r="E33" s="1009"/>
      <c r="F33" s="252"/>
      <c r="G33" s="257"/>
      <c r="H33" s="257"/>
    </row>
    <row r="34" spans="1:8" s="253" customFormat="1" ht="19.899999999999999" customHeight="1" thickBot="1">
      <c r="A34" s="1010"/>
      <c r="B34" s="1011"/>
      <c r="C34" s="261"/>
      <c r="D34" s="262"/>
      <c r="E34" s="263"/>
      <c r="F34" s="264">
        <f>E34</f>
        <v>0</v>
      </c>
      <c r="G34" s="257"/>
      <c r="H34" s="257"/>
    </row>
    <row r="35" spans="1:8" s="253" customFormat="1" ht="19.899999999999999" customHeight="1">
      <c r="A35" s="1006">
        <v>45992</v>
      </c>
      <c r="B35" s="982"/>
      <c r="C35" s="1012" t="s">
        <v>148</v>
      </c>
      <c r="D35" s="1013"/>
      <c r="E35" s="265"/>
      <c r="F35" s="252"/>
      <c r="G35" s="257"/>
      <c r="H35" s="257"/>
    </row>
    <row r="36" spans="1:8" s="253" customFormat="1" ht="19.899999999999999" customHeight="1">
      <c r="A36" s="493"/>
      <c r="B36" s="982"/>
      <c r="C36" s="1012" t="s">
        <v>148</v>
      </c>
      <c r="D36" s="1014"/>
      <c r="E36" s="992"/>
      <c r="F36" s="252"/>
      <c r="G36" s="257"/>
      <c r="H36" s="257"/>
    </row>
    <row r="37" spans="1:8" s="253" customFormat="1" ht="19.899999999999999" customHeight="1">
      <c r="A37" s="493"/>
      <c r="B37" s="982"/>
      <c r="C37" s="1012" t="s">
        <v>148</v>
      </c>
      <c r="D37" s="1014"/>
      <c r="E37" s="992"/>
      <c r="F37" s="252"/>
      <c r="G37" s="257"/>
      <c r="H37" s="257"/>
    </row>
    <row r="38" spans="1:8" s="253" customFormat="1" ht="19.899999999999999" customHeight="1">
      <c r="A38" s="493"/>
      <c r="B38" s="982"/>
      <c r="C38" s="1012" t="s">
        <v>148</v>
      </c>
      <c r="D38" s="1014"/>
      <c r="E38" s="992"/>
      <c r="F38" s="252"/>
      <c r="G38" s="257"/>
      <c r="H38" s="257"/>
    </row>
    <row r="39" spans="1:8" s="253" customFormat="1" ht="19.899999999999999" customHeight="1">
      <c r="A39" s="493"/>
      <c r="B39" s="982"/>
      <c r="C39" s="1012" t="s">
        <v>148</v>
      </c>
      <c r="D39" s="1014"/>
      <c r="E39" s="992"/>
      <c r="F39" s="252"/>
      <c r="G39" s="257"/>
      <c r="H39" s="257"/>
    </row>
    <row r="40" spans="1:8" s="253" customFormat="1" ht="19.899999999999999" customHeight="1">
      <c r="A40" s="493"/>
      <c r="B40" s="982"/>
      <c r="C40" s="1012" t="s">
        <v>148</v>
      </c>
      <c r="D40" s="1014"/>
      <c r="E40" s="992"/>
      <c r="F40" s="252"/>
      <c r="G40" s="257"/>
      <c r="H40" s="257"/>
    </row>
    <row r="41" spans="1:8" s="253" customFormat="1" ht="19.899999999999999" customHeight="1">
      <c r="A41" s="493"/>
      <c r="B41" s="982"/>
      <c r="C41" s="1012" t="s">
        <v>148</v>
      </c>
      <c r="D41" s="1014"/>
      <c r="E41" s="992"/>
      <c r="F41" s="252"/>
      <c r="G41" s="257"/>
      <c r="H41" s="257"/>
    </row>
    <row r="42" spans="1:8" s="253" customFormat="1" ht="19.899999999999999" customHeight="1">
      <c r="A42" s="493"/>
      <c r="B42" s="982"/>
      <c r="C42" s="1012" t="s">
        <v>148</v>
      </c>
      <c r="D42" s="1014"/>
      <c r="E42" s="992"/>
      <c r="F42" s="252"/>
      <c r="G42" s="257"/>
      <c r="H42" s="257"/>
    </row>
    <row r="43" spans="1:8" s="253" customFormat="1" ht="19.899999999999999" customHeight="1">
      <c r="A43" s="493"/>
      <c r="B43" s="982"/>
      <c r="C43" s="1012" t="s">
        <v>148</v>
      </c>
      <c r="D43" s="1014"/>
      <c r="E43" s="992"/>
      <c r="F43" s="252"/>
      <c r="G43" s="257"/>
      <c r="H43" s="257"/>
    </row>
    <row r="44" spans="1:8" s="253" customFormat="1" ht="19.899999999999999" customHeight="1">
      <c r="A44" s="493"/>
      <c r="B44" s="982"/>
      <c r="C44" s="1012" t="s">
        <v>148</v>
      </c>
      <c r="D44" s="1014"/>
      <c r="E44" s="992"/>
      <c r="F44" s="252"/>
      <c r="G44" s="257"/>
      <c r="H44" s="257"/>
    </row>
    <row r="45" spans="1:8" s="253" customFormat="1" ht="19.899999999999999" customHeight="1">
      <c r="A45" s="493"/>
      <c r="B45" s="982"/>
      <c r="C45" s="1012" t="s">
        <v>148</v>
      </c>
      <c r="D45" s="1014"/>
      <c r="E45" s="992"/>
      <c r="F45" s="252"/>
      <c r="G45" s="257"/>
      <c r="H45" s="257"/>
    </row>
    <row r="46" spans="1:8" s="253" customFormat="1" ht="19.899999999999999" customHeight="1">
      <c r="A46" s="493"/>
      <c r="B46" s="982"/>
      <c r="C46" s="1012" t="s">
        <v>148</v>
      </c>
      <c r="D46" s="1014"/>
      <c r="E46" s="992"/>
      <c r="F46" s="252"/>
      <c r="G46" s="257"/>
      <c r="H46" s="257"/>
    </row>
    <row r="47" spans="1:8" s="253" customFormat="1" ht="19.899999999999999" customHeight="1">
      <c r="A47" s="493"/>
      <c r="B47" s="982"/>
      <c r="C47" s="1012" t="s">
        <v>148</v>
      </c>
      <c r="D47" s="1014"/>
      <c r="E47" s="992"/>
      <c r="F47" s="252"/>
      <c r="G47" s="257"/>
      <c r="H47" s="257"/>
    </row>
    <row r="48" spans="1:8" s="253" customFormat="1" ht="19.899999999999999" customHeight="1">
      <c r="A48" s="493"/>
      <c r="B48" s="982"/>
      <c r="C48" s="1012" t="s">
        <v>148</v>
      </c>
      <c r="D48" s="982"/>
      <c r="E48" s="992"/>
      <c r="F48" s="252"/>
      <c r="G48" s="257"/>
      <c r="H48" s="257"/>
    </row>
    <row r="49" spans="1:8" s="253" customFormat="1" ht="19.899999999999999" customHeight="1">
      <c r="A49" s="493"/>
      <c r="B49" s="982"/>
      <c r="C49" s="1012" t="s">
        <v>148</v>
      </c>
      <c r="D49" s="982"/>
      <c r="E49" s="992"/>
      <c r="F49" s="252"/>
      <c r="G49" s="257"/>
      <c r="H49" s="257"/>
    </row>
    <row r="50" spans="1:8" s="253" customFormat="1" ht="19.899999999999999" customHeight="1">
      <c r="A50" s="493"/>
      <c r="B50" s="982"/>
      <c r="C50" s="1012" t="s">
        <v>148</v>
      </c>
      <c r="D50" s="982"/>
      <c r="E50" s="992"/>
      <c r="F50" s="252"/>
      <c r="G50" s="257"/>
      <c r="H50" s="257"/>
    </row>
    <row r="51" spans="1:8" s="253" customFormat="1" ht="19.899999999999999" customHeight="1">
      <c r="A51" s="493"/>
      <c r="B51" s="982"/>
      <c r="C51" s="1012" t="s">
        <v>148</v>
      </c>
      <c r="D51" s="982"/>
      <c r="E51" s="992"/>
      <c r="F51" s="252"/>
      <c r="G51" s="257"/>
      <c r="H51" s="257"/>
    </row>
    <row r="52" spans="1:8" s="253" customFormat="1" ht="19.899999999999999" customHeight="1" thickBot="1">
      <c r="A52" s="493"/>
      <c r="B52" s="982"/>
      <c r="C52" s="1012" t="s">
        <v>148</v>
      </c>
      <c r="D52" s="982"/>
      <c r="E52" s="992"/>
      <c r="F52" s="252"/>
      <c r="G52" s="257"/>
      <c r="H52" s="257"/>
    </row>
    <row r="53" spans="1:8" s="253" customFormat="1" ht="19.899999999999999" customHeight="1" thickBot="1">
      <c r="A53" s="1015"/>
      <c r="B53" s="1011"/>
      <c r="C53" s="261"/>
      <c r="D53" s="262"/>
      <c r="E53" s="263"/>
      <c r="F53" s="264">
        <f>E53</f>
        <v>0</v>
      </c>
      <c r="G53" s="257"/>
      <c r="H53" s="257"/>
    </row>
    <row r="54" spans="1:8" s="253" customFormat="1" ht="19.899999999999999" customHeight="1">
      <c r="A54" s="1016">
        <v>46023</v>
      </c>
      <c r="B54" s="1011"/>
      <c r="C54" s="1012" t="s">
        <v>148</v>
      </c>
      <c r="D54" s="431"/>
      <c r="E54" s="433"/>
      <c r="F54" s="252"/>
      <c r="G54" s="257"/>
      <c r="H54" s="257"/>
    </row>
    <row r="55" spans="1:8" s="253" customFormat="1" ht="19.899999999999999" customHeight="1">
      <c r="A55" s="491"/>
      <c r="B55" s="1011"/>
      <c r="C55" s="1012" t="s">
        <v>148</v>
      </c>
      <c r="D55" s="1017"/>
      <c r="E55" s="1018"/>
      <c r="F55" s="252"/>
      <c r="G55" s="257"/>
      <c r="H55" s="257"/>
    </row>
    <row r="56" spans="1:8" s="253" customFormat="1" ht="19.899999999999999" customHeight="1">
      <c r="A56" s="491"/>
      <c r="B56" s="1011"/>
      <c r="C56" s="1012" t="s">
        <v>148</v>
      </c>
      <c r="D56" s="1017"/>
      <c r="E56" s="1018"/>
      <c r="F56" s="252"/>
      <c r="G56" s="257"/>
      <c r="H56" s="257"/>
    </row>
    <row r="57" spans="1:8" s="253" customFormat="1" ht="19.899999999999999" customHeight="1">
      <c r="A57" s="491"/>
      <c r="B57" s="1011"/>
      <c r="C57" s="1012" t="s">
        <v>148</v>
      </c>
      <c r="D57" s="1017"/>
      <c r="E57" s="1018"/>
      <c r="F57" s="252"/>
      <c r="G57" s="257"/>
      <c r="H57" s="257"/>
    </row>
    <row r="58" spans="1:8" s="253" customFormat="1" ht="19.899999999999999" customHeight="1">
      <c r="A58" s="491"/>
      <c r="B58" s="1011"/>
      <c r="C58" s="1012" t="s">
        <v>148</v>
      </c>
      <c r="D58" s="1017"/>
      <c r="E58" s="1018"/>
      <c r="F58" s="252"/>
      <c r="G58" s="257"/>
      <c r="H58" s="257"/>
    </row>
    <row r="59" spans="1:8" s="253" customFormat="1" ht="19.899999999999999" customHeight="1">
      <c r="A59" s="491"/>
      <c r="B59" s="1011"/>
      <c r="C59" s="1012" t="s">
        <v>148</v>
      </c>
      <c r="D59" s="1017"/>
      <c r="E59" s="1018"/>
      <c r="F59" s="252"/>
      <c r="G59" s="257"/>
      <c r="H59" s="257"/>
    </row>
    <row r="60" spans="1:8" s="253" customFormat="1" ht="19.899999999999999" customHeight="1">
      <c r="A60" s="491"/>
      <c r="B60" s="1011"/>
      <c r="C60" s="1012" t="s">
        <v>148</v>
      </c>
      <c r="D60" s="1017"/>
      <c r="E60" s="1019"/>
      <c r="F60" s="252"/>
      <c r="G60" s="257"/>
      <c r="H60" s="257"/>
    </row>
    <row r="61" spans="1:8" s="253" customFormat="1" ht="19.899999999999999" customHeight="1">
      <c r="A61" s="491"/>
      <c r="B61" s="1011"/>
      <c r="C61" s="1012" t="s">
        <v>148</v>
      </c>
      <c r="D61" s="1017"/>
      <c r="E61" s="1018"/>
      <c r="F61" s="252"/>
      <c r="G61" s="257"/>
      <c r="H61" s="257"/>
    </row>
    <row r="62" spans="1:8" s="253" customFormat="1" ht="19.899999999999999" customHeight="1">
      <c r="A62" s="491"/>
      <c r="B62" s="1011"/>
      <c r="C62" s="1012" t="s">
        <v>148</v>
      </c>
      <c r="D62" s="1017"/>
      <c r="E62" s="1018"/>
      <c r="F62" s="252"/>
      <c r="G62" s="257"/>
      <c r="H62" s="257"/>
    </row>
    <row r="63" spans="1:8" s="253" customFormat="1" ht="19.899999999999999" customHeight="1">
      <c r="A63" s="491"/>
      <c r="B63" s="1011"/>
      <c r="C63" s="1012" t="s">
        <v>148</v>
      </c>
      <c r="D63" s="1017"/>
      <c r="E63" s="1018"/>
      <c r="F63" s="252"/>
      <c r="G63" s="257"/>
      <c r="H63" s="257"/>
    </row>
    <row r="64" spans="1:8" s="253" customFormat="1" ht="19.899999999999999" customHeight="1">
      <c r="A64" s="491"/>
      <c r="B64" s="1011"/>
      <c r="C64" s="1012" t="s">
        <v>148</v>
      </c>
      <c r="D64" s="1017"/>
      <c r="E64" s="1018"/>
      <c r="F64" s="252"/>
      <c r="G64" s="257"/>
      <c r="H64" s="257"/>
    </row>
    <row r="65" spans="1:8" s="253" customFormat="1" ht="19.899999999999999" customHeight="1">
      <c r="A65" s="491"/>
      <c r="B65" s="1011"/>
      <c r="C65" s="1012" t="s">
        <v>148</v>
      </c>
      <c r="D65" s="1017"/>
      <c r="E65" s="1018"/>
      <c r="F65" s="252"/>
      <c r="G65" s="257"/>
      <c r="H65" s="257"/>
    </row>
    <row r="66" spans="1:8" s="253" customFormat="1" ht="19.899999999999999" customHeight="1">
      <c r="A66" s="491"/>
      <c r="B66" s="1011"/>
      <c r="C66" s="1012" t="s">
        <v>148</v>
      </c>
      <c r="D66" s="1017"/>
      <c r="E66" s="1018"/>
      <c r="F66" s="252"/>
      <c r="G66" s="257"/>
      <c r="H66" s="257"/>
    </row>
    <row r="67" spans="1:8" s="253" customFormat="1" ht="19.899999999999999" customHeight="1">
      <c r="A67" s="491"/>
      <c r="B67" s="1011"/>
      <c r="C67" s="1012" t="s">
        <v>148</v>
      </c>
      <c r="D67" s="1017"/>
      <c r="E67" s="1018"/>
      <c r="F67" s="252"/>
      <c r="G67" s="257"/>
      <c r="H67" s="257"/>
    </row>
    <row r="68" spans="1:8" s="253" customFormat="1" ht="19.899999999999999" customHeight="1">
      <c r="A68" s="491"/>
      <c r="B68" s="1011"/>
      <c r="C68" s="1012" t="s">
        <v>148</v>
      </c>
      <c r="D68" s="1017"/>
      <c r="E68" s="1018"/>
      <c r="F68" s="252"/>
      <c r="G68" s="257"/>
      <c r="H68" s="257"/>
    </row>
    <row r="69" spans="1:8" s="253" customFormat="1" ht="19.899999999999999" customHeight="1">
      <c r="A69" s="491"/>
      <c r="B69" s="1011"/>
      <c r="C69" s="1012" t="s">
        <v>148</v>
      </c>
      <c r="D69" s="1017"/>
      <c r="E69" s="1018"/>
      <c r="F69" s="252"/>
      <c r="G69" s="257"/>
      <c r="H69" s="257"/>
    </row>
    <row r="70" spans="1:8" s="253" customFormat="1" ht="19.899999999999999" customHeight="1">
      <c r="A70" s="491"/>
      <c r="B70" s="1011"/>
      <c r="C70" s="1012" t="s">
        <v>148</v>
      </c>
      <c r="D70" s="1017"/>
      <c r="E70" s="1018"/>
      <c r="F70" s="252"/>
      <c r="G70" s="257"/>
      <c r="H70" s="257"/>
    </row>
    <row r="71" spans="1:8" s="253" customFormat="1" ht="19.899999999999999" customHeight="1" thickBot="1">
      <c r="A71" s="491"/>
      <c r="B71" s="1011"/>
      <c r="C71" s="1012" t="s">
        <v>148</v>
      </c>
      <c r="D71" s="432"/>
      <c r="E71" s="436"/>
      <c r="F71" s="252"/>
      <c r="G71" s="257"/>
      <c r="H71" s="257"/>
    </row>
    <row r="72" spans="1:8" s="253" customFormat="1" ht="19.899999999999999" customHeight="1" thickBot="1">
      <c r="A72" s="1020"/>
      <c r="B72" s="1011"/>
      <c r="C72" s="261"/>
      <c r="D72" s="262"/>
      <c r="E72" s="263"/>
      <c r="F72" s="267">
        <f>E72</f>
        <v>0</v>
      </c>
      <c r="G72" s="257"/>
      <c r="H72" s="257"/>
    </row>
    <row r="73" spans="1:8" s="253" customFormat="1" ht="19.899999999999999" customHeight="1">
      <c r="A73" s="1016">
        <v>46054</v>
      </c>
      <c r="B73" s="1011"/>
      <c r="C73" s="1012" t="s">
        <v>148</v>
      </c>
      <c r="D73" s="434"/>
      <c r="E73" s="433"/>
      <c r="F73" s="252"/>
      <c r="G73" s="257"/>
      <c r="H73" s="257"/>
    </row>
    <row r="74" spans="1:8" s="253" customFormat="1" ht="19.899999999999999" customHeight="1">
      <c r="A74" s="491"/>
      <c r="B74" s="1011"/>
      <c r="C74" s="1012" t="s">
        <v>148</v>
      </c>
      <c r="D74" s="1021"/>
      <c r="E74" s="1018"/>
      <c r="F74" s="252"/>
      <c r="G74" s="257"/>
      <c r="H74" s="257"/>
    </row>
    <row r="75" spans="1:8" s="253" customFormat="1" ht="19.899999999999999" customHeight="1">
      <c r="A75" s="491"/>
      <c r="B75" s="1011"/>
      <c r="C75" s="1012" t="s">
        <v>148</v>
      </c>
      <c r="D75" s="1021"/>
      <c r="E75" s="1018"/>
      <c r="F75" s="252"/>
      <c r="G75" s="257"/>
      <c r="H75" s="257"/>
    </row>
    <row r="76" spans="1:8" s="253" customFormat="1" ht="19.899999999999999" customHeight="1">
      <c r="A76" s="491"/>
      <c r="B76" s="1011"/>
      <c r="C76" s="1012" t="s">
        <v>148</v>
      </c>
      <c r="D76" s="1021"/>
      <c r="E76" s="1018"/>
      <c r="F76" s="252"/>
      <c r="G76" s="257"/>
      <c r="H76" s="257"/>
    </row>
    <row r="77" spans="1:8" s="253" customFormat="1" ht="19.899999999999999" customHeight="1">
      <c r="A77" s="491"/>
      <c r="B77" s="1011"/>
      <c r="C77" s="1012" t="s">
        <v>148</v>
      </c>
      <c r="D77" s="1021"/>
      <c r="E77" s="1018"/>
      <c r="F77" s="252"/>
      <c r="G77" s="257"/>
      <c r="H77" s="257"/>
    </row>
    <row r="78" spans="1:8" s="253" customFormat="1" ht="19.899999999999999" customHeight="1">
      <c r="A78" s="491"/>
      <c r="B78" s="1011"/>
      <c r="C78" s="1012" t="s">
        <v>148</v>
      </c>
      <c r="D78" s="1021"/>
      <c r="E78" s="1018"/>
      <c r="F78" s="252"/>
      <c r="G78" s="257"/>
      <c r="H78" s="257"/>
    </row>
    <row r="79" spans="1:8" s="253" customFormat="1" ht="19.899999999999999" customHeight="1">
      <c r="A79" s="491"/>
      <c r="B79" s="1011"/>
      <c r="C79" s="1012" t="s">
        <v>148</v>
      </c>
      <c r="D79" s="1021"/>
      <c r="E79" s="1018"/>
      <c r="F79" s="252"/>
      <c r="G79" s="257"/>
      <c r="H79" s="257"/>
    </row>
    <row r="80" spans="1:8" s="253" customFormat="1" ht="19.899999999999999" customHeight="1">
      <c r="A80" s="491"/>
      <c r="B80" s="1011"/>
      <c r="C80" s="1012" t="s">
        <v>148</v>
      </c>
      <c r="D80" s="1021"/>
      <c r="E80" s="1018"/>
      <c r="F80" s="252"/>
      <c r="G80" s="257"/>
      <c r="H80" s="257"/>
    </row>
    <row r="81" spans="1:8" s="253" customFormat="1" ht="19.899999999999999" customHeight="1">
      <c r="A81" s="491"/>
      <c r="B81" s="1011"/>
      <c r="C81" s="1012" t="s">
        <v>148</v>
      </c>
      <c r="D81" s="1021"/>
      <c r="E81" s="1018"/>
      <c r="F81" s="252"/>
      <c r="G81" s="257"/>
      <c r="H81" s="257"/>
    </row>
    <row r="82" spans="1:8" s="253" customFormat="1" ht="19.899999999999999" customHeight="1">
      <c r="A82" s="491"/>
      <c r="B82" s="1011"/>
      <c r="C82" s="1012" t="s">
        <v>148</v>
      </c>
      <c r="D82" s="1021"/>
      <c r="E82" s="1018"/>
      <c r="F82" s="252"/>
      <c r="G82" s="257"/>
      <c r="H82" s="257"/>
    </row>
    <row r="83" spans="1:8" s="253" customFormat="1" ht="19.899999999999999" customHeight="1">
      <c r="A83" s="491"/>
      <c r="B83" s="1011"/>
      <c r="C83" s="1012" t="s">
        <v>148</v>
      </c>
      <c r="D83" s="1021"/>
      <c r="E83" s="1018"/>
      <c r="F83" s="252"/>
      <c r="G83" s="257"/>
      <c r="H83" s="257"/>
    </row>
    <row r="84" spans="1:8" s="253" customFormat="1" ht="19.899999999999999" customHeight="1">
      <c r="A84" s="491"/>
      <c r="B84" s="1011"/>
      <c r="C84" s="1012" t="s">
        <v>148</v>
      </c>
      <c r="D84" s="1021"/>
      <c r="E84" s="1018"/>
      <c r="F84" s="252"/>
      <c r="G84" s="257"/>
      <c r="H84" s="257"/>
    </row>
    <row r="85" spans="1:8" s="253" customFormat="1" ht="19.899999999999999" customHeight="1">
      <c r="A85" s="491"/>
      <c r="B85" s="1011"/>
      <c r="C85" s="1012" t="s">
        <v>148</v>
      </c>
      <c r="D85" s="1021"/>
      <c r="E85" s="1018"/>
      <c r="F85" s="252"/>
      <c r="G85" s="257"/>
      <c r="H85" s="257"/>
    </row>
    <row r="86" spans="1:8" s="253" customFormat="1" ht="19.899999999999999" customHeight="1" thickBot="1">
      <c r="A86" s="491"/>
      <c r="B86" s="1011"/>
      <c r="C86" s="1012" t="s">
        <v>148</v>
      </c>
      <c r="D86" s="435"/>
      <c r="E86" s="436"/>
      <c r="F86" s="252"/>
      <c r="G86" s="257"/>
      <c r="H86" s="257"/>
    </row>
    <row r="87" spans="1:8" s="253" customFormat="1" ht="19.899999999999999" customHeight="1" thickBot="1">
      <c r="A87" s="1020"/>
      <c r="B87" s="1011"/>
      <c r="C87" s="261"/>
      <c r="D87" s="262"/>
      <c r="E87" s="263"/>
      <c r="F87" s="267">
        <f>E87</f>
        <v>0</v>
      </c>
      <c r="G87" s="257"/>
      <c r="H87" s="257"/>
    </row>
    <row r="88" spans="1:8" s="253" customFormat="1" ht="19.899999999999999" customHeight="1">
      <c r="A88" s="1016">
        <v>46082</v>
      </c>
      <c r="C88" s="1012" t="s">
        <v>148</v>
      </c>
      <c r="D88" s="434"/>
      <c r="E88" s="433"/>
      <c r="F88" s="252"/>
      <c r="G88" s="257"/>
      <c r="H88" s="257"/>
    </row>
    <row r="89" spans="1:8" s="253" customFormat="1" ht="19.899999999999999" customHeight="1">
      <c r="A89" s="491"/>
      <c r="C89" s="1012" t="s">
        <v>148</v>
      </c>
      <c r="D89" s="1021"/>
      <c r="E89" s="1018"/>
      <c r="F89" s="252"/>
      <c r="G89" s="257"/>
      <c r="H89" s="257"/>
    </row>
    <row r="90" spans="1:8" s="253" customFormat="1" ht="19.899999999999999" customHeight="1">
      <c r="A90" s="491"/>
      <c r="C90" s="1012" t="s">
        <v>148</v>
      </c>
      <c r="D90" s="1021"/>
      <c r="E90" s="1018"/>
      <c r="F90" s="252"/>
      <c r="G90" s="257"/>
      <c r="H90" s="257"/>
    </row>
    <row r="91" spans="1:8" s="253" customFormat="1" ht="19.899999999999999" customHeight="1">
      <c r="A91" s="491"/>
      <c r="C91" s="1012" t="s">
        <v>148</v>
      </c>
      <c r="D91" s="1021"/>
      <c r="E91" s="1018"/>
      <c r="F91" s="252"/>
      <c r="G91" s="257"/>
      <c r="H91" s="257"/>
    </row>
    <row r="92" spans="1:8" s="253" customFormat="1" ht="19.899999999999999" customHeight="1">
      <c r="A92" s="491"/>
      <c r="C92" s="1012" t="s">
        <v>148</v>
      </c>
      <c r="D92" s="1021"/>
      <c r="E92" s="1018"/>
      <c r="F92" s="252"/>
      <c r="G92" s="257"/>
      <c r="H92" s="257"/>
    </row>
    <row r="93" spans="1:8" s="253" customFormat="1" ht="19.899999999999999" customHeight="1">
      <c r="A93" s="491"/>
      <c r="C93" s="1012" t="s">
        <v>148</v>
      </c>
      <c r="D93" s="1021"/>
      <c r="E93" s="1018"/>
      <c r="F93" s="252"/>
      <c r="G93" s="257"/>
      <c r="H93" s="257"/>
    </row>
    <row r="94" spans="1:8" s="253" customFormat="1" ht="24" customHeight="1">
      <c r="A94" s="491"/>
      <c r="C94" s="1012" t="s">
        <v>148</v>
      </c>
      <c r="D94" s="1022"/>
      <c r="E94" s="1018"/>
      <c r="F94" s="252"/>
      <c r="G94" s="257"/>
      <c r="H94" s="257"/>
    </row>
    <row r="95" spans="1:8" s="253" customFormat="1" ht="19.899999999999999" customHeight="1">
      <c r="A95" s="491"/>
      <c r="C95" s="1012" t="s">
        <v>148</v>
      </c>
      <c r="D95" s="1021"/>
      <c r="E95" s="1018"/>
      <c r="F95" s="252"/>
      <c r="G95" s="257"/>
      <c r="H95" s="257"/>
    </row>
    <row r="96" spans="1:8" s="253" customFormat="1" ht="19.899999999999999" customHeight="1">
      <c r="A96" s="491"/>
      <c r="C96" s="1012"/>
      <c r="D96" s="1023"/>
      <c r="E96" s="1024"/>
      <c r="F96" s="252"/>
      <c r="G96" s="257"/>
      <c r="H96" s="257"/>
    </row>
    <row r="97" spans="1:8" s="253" customFormat="1" ht="19.899999999999999" customHeight="1">
      <c r="A97" s="491"/>
      <c r="C97" s="1012"/>
      <c r="D97" s="1023"/>
      <c r="E97" s="1024"/>
      <c r="F97" s="252"/>
      <c r="G97" s="257"/>
      <c r="H97" s="257"/>
    </row>
    <row r="98" spans="1:8" s="253" customFormat="1" ht="19.899999999999999" customHeight="1">
      <c r="A98" s="491"/>
      <c r="C98" s="1012"/>
      <c r="D98" s="1023"/>
      <c r="E98" s="1024"/>
      <c r="F98" s="252"/>
      <c r="G98" s="257"/>
      <c r="H98" s="257"/>
    </row>
    <row r="99" spans="1:8" s="253" customFormat="1" ht="19.899999999999999" customHeight="1">
      <c r="A99" s="491"/>
      <c r="C99" s="1012"/>
      <c r="D99" s="1023"/>
      <c r="E99" s="1024"/>
      <c r="F99" s="252"/>
      <c r="G99" s="257"/>
      <c r="H99" s="257"/>
    </row>
    <row r="100" spans="1:8" s="253" customFormat="1" ht="19.899999999999999" customHeight="1">
      <c r="A100" s="491"/>
      <c r="C100" s="1012"/>
      <c r="D100" s="1023"/>
      <c r="E100" s="1024"/>
      <c r="F100" s="252"/>
      <c r="G100" s="257"/>
      <c r="H100" s="257"/>
    </row>
    <row r="101" spans="1:8" s="253" customFormat="1" ht="19.899999999999999" customHeight="1" thickBot="1">
      <c r="A101" s="491"/>
      <c r="C101" s="982" t="s">
        <v>148</v>
      </c>
      <c r="D101" s="435"/>
      <c r="E101" s="436"/>
      <c r="F101" s="252"/>
      <c r="G101" s="257"/>
      <c r="H101" s="257"/>
    </row>
    <row r="102" spans="1:8" s="253" customFormat="1" ht="19.899999999999999" customHeight="1" thickBot="1">
      <c r="A102" s="1020"/>
      <c r="C102" s="261"/>
      <c r="D102" s="262"/>
      <c r="E102" s="263"/>
      <c r="F102" s="267">
        <f>E102</f>
        <v>0</v>
      </c>
      <c r="G102" s="257"/>
      <c r="H102" s="257"/>
    </row>
    <row r="103" spans="1:8" s="253" customFormat="1" ht="19.899999999999999" customHeight="1">
      <c r="A103" s="1016">
        <v>46113</v>
      </c>
      <c r="C103" s="1012" t="s">
        <v>148</v>
      </c>
      <c r="D103" s="266"/>
      <c r="E103" s="265"/>
      <c r="F103" s="252"/>
      <c r="G103" s="257"/>
      <c r="H103" s="257"/>
    </row>
    <row r="104" spans="1:8" s="253" customFormat="1" ht="19.899999999999999" customHeight="1">
      <c r="A104" s="491"/>
      <c r="C104" s="1012" t="s">
        <v>148</v>
      </c>
      <c r="D104" s="1012"/>
      <c r="E104" s="1025"/>
      <c r="F104" s="252"/>
      <c r="G104" s="257"/>
      <c r="H104" s="257"/>
    </row>
    <row r="105" spans="1:8" s="253" customFormat="1" ht="19.899999999999999" customHeight="1">
      <c r="A105" s="491"/>
      <c r="C105" s="1012" t="s">
        <v>148</v>
      </c>
      <c r="D105" s="982"/>
      <c r="E105" s="992"/>
      <c r="F105" s="252"/>
      <c r="G105" s="257"/>
      <c r="H105" s="257"/>
    </row>
    <row r="106" spans="1:8" s="253" customFormat="1" ht="19.899999999999999" customHeight="1">
      <c r="A106" s="491"/>
      <c r="C106" s="1012" t="s">
        <v>148</v>
      </c>
      <c r="D106" s="982"/>
      <c r="E106" s="992"/>
      <c r="F106" s="252"/>
      <c r="G106" s="257"/>
      <c r="H106" s="257"/>
    </row>
    <row r="107" spans="1:8" s="253" customFormat="1" ht="19.899999999999999" customHeight="1">
      <c r="A107" s="491"/>
      <c r="C107" s="1012" t="s">
        <v>148</v>
      </c>
      <c r="D107" s="982"/>
      <c r="E107" s="992"/>
      <c r="F107" s="252"/>
      <c r="G107" s="257"/>
      <c r="H107" s="257"/>
    </row>
    <row r="108" spans="1:8" s="253" customFormat="1" ht="19.899999999999999" customHeight="1">
      <c r="A108" s="491"/>
      <c r="C108" s="1012" t="s">
        <v>148</v>
      </c>
      <c r="D108" s="982"/>
      <c r="E108" s="992"/>
      <c r="F108" s="252"/>
      <c r="G108" s="257"/>
      <c r="H108" s="257"/>
    </row>
    <row r="109" spans="1:8" s="253" customFormat="1" ht="19.899999999999999" customHeight="1">
      <c r="A109" s="491"/>
      <c r="C109" s="1012" t="s">
        <v>148</v>
      </c>
      <c r="D109" s="982"/>
      <c r="E109" s="992"/>
      <c r="F109" s="252"/>
      <c r="G109" s="257"/>
      <c r="H109" s="257"/>
    </row>
    <row r="110" spans="1:8" s="253" customFormat="1" ht="19.899999999999999" customHeight="1">
      <c r="A110" s="491"/>
      <c r="C110" s="1012" t="s">
        <v>148</v>
      </c>
      <c r="D110" s="982"/>
      <c r="E110" s="992"/>
      <c r="F110" s="252"/>
      <c r="G110" s="257"/>
      <c r="H110" s="257"/>
    </row>
    <row r="111" spans="1:8" s="253" customFormat="1" ht="19.899999999999999" customHeight="1">
      <c r="A111" s="491"/>
      <c r="C111" s="1012" t="s">
        <v>148</v>
      </c>
      <c r="D111" s="982"/>
      <c r="E111" s="992"/>
      <c r="F111" s="252"/>
      <c r="G111" s="257"/>
      <c r="H111" s="257"/>
    </row>
    <row r="112" spans="1:8" s="253" customFormat="1" ht="19.899999999999999" customHeight="1">
      <c r="A112" s="491"/>
      <c r="C112" s="1012" t="s">
        <v>148</v>
      </c>
      <c r="D112" s="982"/>
      <c r="E112" s="992"/>
      <c r="F112" s="252"/>
      <c r="G112" s="257"/>
      <c r="H112" s="257"/>
    </row>
    <row r="113" spans="1:8" s="253" customFormat="1" ht="19.899999999999999" customHeight="1">
      <c r="A113" s="491"/>
      <c r="C113" s="1012" t="s">
        <v>148</v>
      </c>
      <c r="D113" s="982"/>
      <c r="E113" s="992"/>
      <c r="F113" s="252"/>
      <c r="G113" s="257"/>
      <c r="H113" s="257"/>
    </row>
    <row r="114" spans="1:8" s="253" customFormat="1" ht="19.899999999999999" customHeight="1" thickBot="1">
      <c r="A114" s="491"/>
      <c r="C114" s="982" t="s">
        <v>148</v>
      </c>
      <c r="D114" s="982"/>
      <c r="E114" s="992"/>
      <c r="F114" s="252"/>
      <c r="G114" s="257"/>
      <c r="H114" s="257"/>
    </row>
    <row r="115" spans="1:8" s="253" customFormat="1" ht="19.899999999999999" customHeight="1" thickBot="1">
      <c r="A115" s="1020"/>
      <c r="C115" s="261"/>
      <c r="D115" s="262"/>
      <c r="E115" s="263"/>
      <c r="F115" s="267">
        <f>E115</f>
        <v>0</v>
      </c>
      <c r="G115" s="257"/>
      <c r="H115" s="257"/>
    </row>
    <row r="116" spans="1:8" s="253" customFormat="1" ht="19.899999999999999" customHeight="1">
      <c r="A116" s="1016">
        <v>46143</v>
      </c>
      <c r="C116" s="1012" t="s">
        <v>148</v>
      </c>
      <c r="D116" s="439"/>
      <c r="E116" s="440"/>
      <c r="F116" s="252"/>
      <c r="G116" s="257"/>
      <c r="H116" s="257"/>
    </row>
    <row r="117" spans="1:8" s="253" customFormat="1" ht="19.899999999999999" customHeight="1">
      <c r="A117" s="491"/>
      <c r="C117" s="1012" t="s">
        <v>148</v>
      </c>
      <c r="D117" s="1014"/>
      <c r="E117" s="1026"/>
      <c r="F117" s="252"/>
      <c r="G117" s="257"/>
      <c r="H117" s="257"/>
    </row>
    <row r="118" spans="1:8" s="253" customFormat="1" ht="19.899999999999999" customHeight="1">
      <c r="A118" s="491"/>
      <c r="C118" s="1012" t="s">
        <v>148</v>
      </c>
      <c r="D118" s="1014"/>
      <c r="E118" s="1026"/>
      <c r="F118" s="252"/>
      <c r="G118" s="257"/>
      <c r="H118" s="257"/>
    </row>
    <row r="119" spans="1:8" s="253" customFormat="1" ht="19.899999999999999" customHeight="1">
      <c r="A119" s="491"/>
      <c r="C119" s="1012" t="s">
        <v>148</v>
      </c>
      <c r="D119" s="1014"/>
      <c r="E119" s="1026"/>
      <c r="F119" s="252"/>
      <c r="G119" s="257"/>
      <c r="H119" s="257"/>
    </row>
    <row r="120" spans="1:8" s="253" customFormat="1" ht="19.899999999999999" customHeight="1">
      <c r="A120" s="491"/>
      <c r="C120" s="1012" t="s">
        <v>148</v>
      </c>
      <c r="D120" s="1014"/>
      <c r="E120" s="1026"/>
      <c r="F120" s="252"/>
      <c r="G120" s="257"/>
      <c r="H120" s="257"/>
    </row>
    <row r="121" spans="1:8" s="253" customFormat="1" ht="19.899999999999999" customHeight="1">
      <c r="A121" s="491"/>
      <c r="C121" s="1012" t="s">
        <v>148</v>
      </c>
      <c r="D121" s="1014"/>
      <c r="E121" s="1026"/>
      <c r="F121" s="252"/>
      <c r="G121" s="257"/>
      <c r="H121" s="257"/>
    </row>
    <row r="122" spans="1:8" s="253" customFormat="1" ht="19.899999999999999" customHeight="1">
      <c r="A122" s="491"/>
      <c r="C122" s="1012" t="s">
        <v>148</v>
      </c>
      <c r="D122" s="1014"/>
      <c r="E122" s="1026"/>
      <c r="F122" s="252"/>
      <c r="G122" s="257"/>
      <c r="H122" s="257"/>
    </row>
    <row r="123" spans="1:8" s="253" customFormat="1" ht="19.899999999999999" customHeight="1">
      <c r="A123" s="491"/>
      <c r="C123" s="1012" t="s">
        <v>148</v>
      </c>
      <c r="D123" s="1014"/>
      <c r="E123" s="1026"/>
      <c r="F123" s="252"/>
      <c r="G123" s="257"/>
      <c r="H123" s="257"/>
    </row>
    <row r="124" spans="1:8" s="253" customFormat="1" ht="19.899999999999999" customHeight="1">
      <c r="A124" s="491"/>
      <c r="C124" s="1012" t="s">
        <v>148</v>
      </c>
      <c r="D124" s="1014"/>
      <c r="E124" s="1026"/>
      <c r="F124" s="252"/>
      <c r="G124" s="257"/>
      <c r="H124" s="257"/>
    </row>
    <row r="125" spans="1:8" s="253" customFormat="1" ht="19.899999999999999" customHeight="1">
      <c r="A125" s="491"/>
      <c r="C125" s="1012" t="s">
        <v>148</v>
      </c>
      <c r="D125" s="1014"/>
      <c r="E125" s="1026"/>
      <c r="F125" s="252"/>
      <c r="G125" s="257"/>
      <c r="H125" s="257"/>
    </row>
    <row r="126" spans="1:8" s="253" customFormat="1" ht="19.899999999999999" customHeight="1">
      <c r="A126" s="491"/>
      <c r="C126" s="1012" t="s">
        <v>148</v>
      </c>
      <c r="D126" s="1014"/>
      <c r="E126" s="1026"/>
      <c r="F126" s="252"/>
      <c r="G126" s="257"/>
      <c r="H126" s="257"/>
    </row>
    <row r="127" spans="1:8" s="253" customFormat="1" ht="19.899999999999999" customHeight="1">
      <c r="A127" s="491"/>
      <c r="C127" s="1012" t="s">
        <v>148</v>
      </c>
      <c r="D127" s="982"/>
      <c r="E127" s="992"/>
      <c r="F127" s="252"/>
      <c r="G127" s="257"/>
      <c r="H127" s="257"/>
    </row>
    <row r="128" spans="1:8" s="253" customFormat="1" ht="19.899999999999999" customHeight="1">
      <c r="A128" s="491"/>
      <c r="C128" s="1012" t="s">
        <v>148</v>
      </c>
      <c r="D128" s="982"/>
      <c r="E128" s="992"/>
      <c r="F128" s="252"/>
      <c r="G128" s="257"/>
      <c r="H128" s="257"/>
    </row>
    <row r="129" spans="1:8" s="253" customFormat="1" ht="19.899999999999999" customHeight="1">
      <c r="A129" s="491"/>
      <c r="C129" s="1012" t="s">
        <v>148</v>
      </c>
      <c r="D129" s="982"/>
      <c r="E129" s="992"/>
      <c r="F129" s="252"/>
      <c r="G129" s="257"/>
      <c r="H129" s="257"/>
    </row>
    <row r="130" spans="1:8" s="253" customFormat="1" ht="19.899999999999999" customHeight="1">
      <c r="A130" s="491"/>
      <c r="C130" s="1012" t="s">
        <v>148</v>
      </c>
      <c r="D130" s="982"/>
      <c r="E130" s="992"/>
      <c r="F130" s="252"/>
      <c r="G130" s="257"/>
      <c r="H130" s="257"/>
    </row>
    <row r="131" spans="1:8" s="253" customFormat="1" ht="19.899999999999999" customHeight="1">
      <c r="A131" s="491"/>
      <c r="C131" s="1012" t="s">
        <v>148</v>
      </c>
      <c r="D131" s="982"/>
      <c r="E131" s="992"/>
      <c r="F131" s="252"/>
      <c r="G131" s="257"/>
      <c r="H131" s="257"/>
    </row>
    <row r="132" spans="1:8" s="253" customFormat="1" ht="19.899999999999999" customHeight="1">
      <c r="A132" s="491"/>
      <c r="C132" s="1012" t="s">
        <v>148</v>
      </c>
      <c r="D132" s="982"/>
      <c r="E132" s="992"/>
      <c r="F132" s="252"/>
      <c r="G132" s="257"/>
      <c r="H132" s="257"/>
    </row>
    <row r="133" spans="1:8" s="253" customFormat="1" ht="19.899999999999999" customHeight="1">
      <c r="A133" s="491"/>
      <c r="C133" s="1012" t="s">
        <v>148</v>
      </c>
      <c r="D133" s="982"/>
      <c r="E133" s="992"/>
      <c r="F133" s="252"/>
      <c r="G133" s="257"/>
      <c r="H133" s="257"/>
    </row>
    <row r="134" spans="1:8" s="253" customFormat="1" ht="19.899999999999999" customHeight="1">
      <c r="A134" s="491"/>
      <c r="C134" s="1012" t="s">
        <v>148</v>
      </c>
      <c r="D134" s="982"/>
      <c r="E134" s="992"/>
      <c r="F134" s="252"/>
      <c r="G134" s="257"/>
      <c r="H134" s="257"/>
    </row>
    <row r="135" spans="1:8" s="253" customFormat="1" ht="19.899999999999999" customHeight="1">
      <c r="A135" s="491"/>
      <c r="C135" s="1012" t="s">
        <v>148</v>
      </c>
      <c r="D135" s="982"/>
      <c r="E135" s="992"/>
      <c r="F135" s="252"/>
      <c r="G135" s="257"/>
      <c r="H135" s="257"/>
    </row>
    <row r="136" spans="1:8" s="253" customFormat="1" ht="19.899999999999999" customHeight="1">
      <c r="A136" s="491"/>
      <c r="C136" s="1012" t="s">
        <v>148</v>
      </c>
      <c r="D136" s="982"/>
      <c r="E136" s="992"/>
      <c r="F136" s="252"/>
      <c r="G136" s="257"/>
      <c r="H136" s="257"/>
    </row>
    <row r="137" spans="1:8" s="253" customFormat="1" ht="19.899999999999999" customHeight="1" thickBot="1">
      <c r="A137" s="491"/>
      <c r="C137" s="982"/>
      <c r="D137" s="982"/>
      <c r="E137" s="992"/>
      <c r="F137" s="252"/>
      <c r="G137" s="257"/>
      <c r="H137" s="257"/>
    </row>
    <row r="138" spans="1:8" s="253" customFormat="1" ht="19.899999999999999" customHeight="1" thickBot="1">
      <c r="A138" s="1020"/>
      <c r="C138" s="261"/>
      <c r="D138" s="262"/>
      <c r="E138" s="263"/>
      <c r="F138" s="267">
        <f>E138</f>
        <v>0</v>
      </c>
      <c r="G138" s="257"/>
      <c r="H138" s="257"/>
    </row>
    <row r="139" spans="1:8" s="253" customFormat="1" ht="19.899999999999999" customHeight="1">
      <c r="A139" s="1016">
        <v>46174</v>
      </c>
      <c r="C139" s="1012" t="s">
        <v>148</v>
      </c>
      <c r="D139" s="447"/>
      <c r="E139" s="440"/>
      <c r="F139" s="252"/>
      <c r="G139" s="257"/>
      <c r="H139" s="257"/>
    </row>
    <row r="140" spans="1:8" s="253" customFormat="1" ht="19.899999999999999" customHeight="1">
      <c r="A140" s="491"/>
      <c r="C140" s="1012" t="s">
        <v>148</v>
      </c>
      <c r="D140" s="1027"/>
      <c r="E140" s="1026"/>
      <c r="F140" s="252"/>
      <c r="G140" s="257"/>
      <c r="H140" s="257"/>
    </row>
    <row r="141" spans="1:8" s="253" customFormat="1" ht="19.899999999999999" customHeight="1">
      <c r="A141" s="491"/>
      <c r="C141" s="1012" t="s">
        <v>148</v>
      </c>
      <c r="D141" s="1027"/>
      <c r="E141" s="1026"/>
      <c r="F141" s="252"/>
      <c r="G141" s="257"/>
      <c r="H141" s="257"/>
    </row>
    <row r="142" spans="1:8" s="253" customFormat="1" ht="19.899999999999999" customHeight="1">
      <c r="A142" s="491"/>
      <c r="C142" s="1012" t="s">
        <v>148</v>
      </c>
      <c r="D142" s="1027"/>
      <c r="E142" s="1026"/>
      <c r="F142" s="252"/>
      <c r="G142" s="257"/>
      <c r="H142" s="257"/>
    </row>
    <row r="143" spans="1:8" s="253" customFormat="1" ht="19.899999999999999" customHeight="1">
      <c r="A143" s="491"/>
      <c r="C143" s="1012" t="s">
        <v>148</v>
      </c>
      <c r="D143" s="1027"/>
      <c r="E143" s="1026"/>
      <c r="F143" s="252"/>
      <c r="G143" s="257"/>
      <c r="H143" s="257"/>
    </row>
    <row r="144" spans="1:8" s="253" customFormat="1" ht="19.899999999999999" customHeight="1">
      <c r="A144" s="491"/>
      <c r="C144" s="1012" t="s">
        <v>148</v>
      </c>
      <c r="D144" s="1027"/>
      <c r="E144" s="1026"/>
      <c r="F144" s="252"/>
      <c r="G144" s="257"/>
      <c r="H144" s="257"/>
    </row>
    <row r="145" spans="1:8" s="253" customFormat="1" ht="19.899999999999999" customHeight="1">
      <c r="A145" s="491"/>
      <c r="C145" s="1012" t="s">
        <v>148</v>
      </c>
      <c r="D145" s="1027"/>
      <c r="E145" s="1026"/>
      <c r="F145" s="252"/>
      <c r="G145" s="257"/>
      <c r="H145" s="257"/>
    </row>
    <row r="146" spans="1:8" s="253" customFormat="1" ht="19.899999999999999" customHeight="1">
      <c r="A146" s="491"/>
      <c r="C146" s="1012" t="s">
        <v>148</v>
      </c>
      <c r="D146" s="1027"/>
      <c r="E146" s="1026"/>
      <c r="F146" s="252"/>
      <c r="G146" s="257"/>
      <c r="H146" s="257"/>
    </row>
    <row r="147" spans="1:8" s="253" customFormat="1" ht="19.899999999999999" customHeight="1">
      <c r="A147" s="491"/>
      <c r="C147" s="1012" t="s">
        <v>148</v>
      </c>
      <c r="D147" s="1027"/>
      <c r="E147" s="1026"/>
      <c r="F147" s="252"/>
      <c r="G147" s="257"/>
      <c r="H147" s="257"/>
    </row>
    <row r="148" spans="1:8" s="253" customFormat="1" ht="19.899999999999999" customHeight="1">
      <c r="A148" s="491"/>
      <c r="C148" s="1012" t="s">
        <v>148</v>
      </c>
      <c r="D148" s="1027"/>
      <c r="E148" s="1026"/>
      <c r="F148" s="252"/>
      <c r="G148" s="257"/>
      <c r="H148" s="257"/>
    </row>
    <row r="149" spans="1:8" s="253" customFormat="1" ht="19.899999999999999" customHeight="1">
      <c r="A149" s="491"/>
      <c r="C149" s="1012" t="s">
        <v>148</v>
      </c>
      <c r="D149" s="1027"/>
      <c r="E149" s="1026"/>
      <c r="F149" s="252"/>
      <c r="G149" s="257"/>
      <c r="H149" s="257"/>
    </row>
    <row r="150" spans="1:8" s="253" customFormat="1" ht="19.899999999999999" customHeight="1">
      <c r="A150" s="491"/>
      <c r="C150" s="1012" t="s">
        <v>148</v>
      </c>
      <c r="D150" s="1027"/>
      <c r="E150" s="1026"/>
      <c r="F150" s="252"/>
      <c r="G150" s="257"/>
      <c r="H150" s="257"/>
    </row>
    <row r="151" spans="1:8" s="253" customFormat="1" ht="19.899999999999999" customHeight="1">
      <c r="A151" s="491"/>
      <c r="C151" s="1012" t="s">
        <v>148</v>
      </c>
      <c r="D151" s="1027"/>
      <c r="E151" s="1026"/>
      <c r="F151" s="252"/>
      <c r="G151" s="257"/>
      <c r="H151" s="257"/>
    </row>
    <row r="152" spans="1:8" s="253" customFormat="1" ht="19.899999999999999" customHeight="1">
      <c r="A152" s="491"/>
      <c r="C152" s="1012" t="s">
        <v>148</v>
      </c>
      <c r="D152" s="982"/>
      <c r="E152" s="992"/>
      <c r="F152" s="252"/>
      <c r="G152" s="257"/>
      <c r="H152" s="257"/>
    </row>
    <row r="153" spans="1:8" s="253" customFormat="1" ht="19.899999999999999" customHeight="1">
      <c r="A153" s="491"/>
      <c r="C153" s="1012"/>
      <c r="D153" s="982"/>
      <c r="E153" s="992"/>
      <c r="F153" s="252"/>
      <c r="G153" s="257"/>
      <c r="H153" s="257"/>
    </row>
    <row r="154" spans="1:8" s="253" customFormat="1" ht="19.899999999999999" customHeight="1" thickBot="1">
      <c r="A154" s="491"/>
      <c r="C154" s="982"/>
      <c r="D154" s="982"/>
      <c r="E154" s="992"/>
      <c r="F154" s="252"/>
      <c r="G154" s="257"/>
      <c r="H154" s="257"/>
    </row>
    <row r="155" spans="1:8" s="253" customFormat="1" ht="19.899999999999999" customHeight="1" thickBot="1">
      <c r="A155" s="1020"/>
      <c r="C155" s="261"/>
      <c r="D155" s="262"/>
      <c r="E155" s="263"/>
      <c r="F155" s="264">
        <f>E155</f>
        <v>0</v>
      </c>
      <c r="G155" s="257"/>
      <c r="H155" s="257"/>
    </row>
    <row r="156" spans="1:8" s="253" customFormat="1" ht="19.899999999999999" customHeight="1">
      <c r="A156" s="1016">
        <v>46204</v>
      </c>
      <c r="C156" s="1012" t="s">
        <v>148</v>
      </c>
      <c r="D156" s="266"/>
      <c r="E156" s="265"/>
      <c r="F156" s="252"/>
      <c r="G156" s="257"/>
      <c r="H156" s="257"/>
    </row>
    <row r="157" spans="1:8" s="253" customFormat="1" ht="19.899999999999999" customHeight="1">
      <c r="A157" s="491"/>
      <c r="C157" s="1012" t="s">
        <v>148</v>
      </c>
      <c r="D157" s="982"/>
      <c r="E157" s="992"/>
      <c r="F157" s="252"/>
      <c r="G157" s="257"/>
      <c r="H157" s="257"/>
    </row>
    <row r="158" spans="1:8" s="253" customFormat="1" ht="19.899999999999999" customHeight="1">
      <c r="A158" s="491"/>
      <c r="C158" s="1012" t="s">
        <v>148</v>
      </c>
      <c r="D158" s="982"/>
      <c r="E158" s="992"/>
      <c r="F158" s="252"/>
      <c r="G158" s="257"/>
      <c r="H158" s="257"/>
    </row>
    <row r="159" spans="1:8" s="253" customFormat="1" ht="19.899999999999999" customHeight="1">
      <c r="A159" s="491"/>
      <c r="C159" s="1012" t="s">
        <v>148</v>
      </c>
      <c r="D159" s="982"/>
      <c r="E159" s="992"/>
      <c r="F159" s="252"/>
      <c r="G159" s="257"/>
      <c r="H159" s="257"/>
    </row>
    <row r="160" spans="1:8" s="253" customFormat="1" ht="19.899999999999999" customHeight="1">
      <c r="A160" s="491"/>
      <c r="C160" s="1012" t="s">
        <v>148</v>
      </c>
      <c r="D160" s="982"/>
      <c r="E160" s="992"/>
      <c r="F160" s="252"/>
      <c r="G160" s="257"/>
      <c r="H160" s="257"/>
    </row>
    <row r="161" spans="1:8" s="253" customFormat="1" ht="19.899999999999999" customHeight="1">
      <c r="A161" s="491"/>
      <c r="C161" s="1012" t="s">
        <v>148</v>
      </c>
      <c r="D161" s="982"/>
      <c r="E161" s="992"/>
      <c r="F161" s="252"/>
      <c r="G161" s="257"/>
      <c r="H161" s="257"/>
    </row>
    <row r="162" spans="1:8" s="253" customFormat="1" ht="19.899999999999999" customHeight="1">
      <c r="A162" s="491"/>
      <c r="C162" s="1012" t="s">
        <v>148</v>
      </c>
      <c r="D162" s="982"/>
      <c r="E162" s="992"/>
      <c r="F162" s="252"/>
      <c r="G162" s="257"/>
      <c r="H162" s="257"/>
    </row>
    <row r="163" spans="1:8" s="253" customFormat="1" ht="19.899999999999999" customHeight="1">
      <c r="A163" s="491"/>
      <c r="C163" s="1012" t="s">
        <v>148</v>
      </c>
      <c r="D163" s="982"/>
      <c r="E163" s="992"/>
      <c r="F163" s="252"/>
      <c r="G163" s="257"/>
      <c r="H163" s="257"/>
    </row>
    <row r="164" spans="1:8" s="253" customFormat="1" ht="19.899999999999999" customHeight="1">
      <c r="A164" s="491"/>
      <c r="C164" s="1012" t="s">
        <v>148</v>
      </c>
      <c r="D164" s="982"/>
      <c r="E164" s="992"/>
      <c r="F164" s="252"/>
      <c r="G164" s="257"/>
      <c r="H164" s="257"/>
    </row>
    <row r="165" spans="1:8" s="253" customFormat="1" ht="19.899999999999999" customHeight="1">
      <c r="A165" s="491"/>
      <c r="C165" s="1012" t="s">
        <v>148</v>
      </c>
      <c r="D165" s="982"/>
      <c r="E165" s="992"/>
      <c r="F165" s="252"/>
      <c r="G165" s="257"/>
      <c r="H165" s="257"/>
    </row>
    <row r="166" spans="1:8" s="253" customFormat="1" ht="19.899999999999999" customHeight="1">
      <c r="A166" s="491"/>
      <c r="C166" s="1012" t="s">
        <v>148</v>
      </c>
      <c r="D166" s="982"/>
      <c r="E166" s="992"/>
      <c r="F166" s="252"/>
      <c r="G166" s="257"/>
      <c r="H166" s="257"/>
    </row>
    <row r="167" spans="1:8" s="253" customFormat="1" ht="19.899999999999999" customHeight="1">
      <c r="A167" s="491"/>
      <c r="C167" s="1012" t="s">
        <v>148</v>
      </c>
      <c r="D167" s="982"/>
      <c r="E167" s="992"/>
      <c r="F167" s="252"/>
      <c r="G167" s="257"/>
      <c r="H167" s="257"/>
    </row>
    <row r="168" spans="1:8" s="253" customFormat="1" ht="19.899999999999999" customHeight="1">
      <c r="A168" s="491"/>
      <c r="C168" s="1012" t="s">
        <v>148</v>
      </c>
      <c r="D168" s="982"/>
      <c r="E168" s="992"/>
      <c r="F168" s="252"/>
      <c r="G168" s="257"/>
      <c r="H168" s="257"/>
    </row>
    <row r="169" spans="1:8" s="253" customFormat="1" ht="19.899999999999999" customHeight="1">
      <c r="A169" s="491"/>
      <c r="C169" s="1012" t="s">
        <v>148</v>
      </c>
      <c r="D169" s="982"/>
      <c r="E169" s="992"/>
      <c r="F169" s="252"/>
      <c r="G169" s="257"/>
      <c r="H169" s="257"/>
    </row>
    <row r="170" spans="1:8" s="253" customFormat="1" ht="19.899999999999999" customHeight="1">
      <c r="A170" s="491"/>
      <c r="C170" s="1012" t="s">
        <v>148</v>
      </c>
      <c r="D170" s="982"/>
      <c r="E170" s="992"/>
      <c r="F170" s="252"/>
      <c r="G170" s="257"/>
      <c r="H170" s="257"/>
    </row>
    <row r="171" spans="1:8" s="253" customFormat="1" ht="19.899999999999999" customHeight="1">
      <c r="A171" s="491"/>
      <c r="C171" s="1012" t="s">
        <v>148</v>
      </c>
      <c r="D171" s="982"/>
      <c r="E171" s="992"/>
      <c r="F171" s="252"/>
      <c r="G171" s="257"/>
      <c r="H171" s="257"/>
    </row>
    <row r="172" spans="1:8" s="253" customFormat="1" ht="19.899999999999999" customHeight="1">
      <c r="A172" s="491"/>
      <c r="C172" s="1012" t="s">
        <v>148</v>
      </c>
      <c r="D172" s="982"/>
      <c r="E172" s="992"/>
      <c r="F172" s="252"/>
      <c r="G172" s="257"/>
      <c r="H172" s="257"/>
    </row>
    <row r="173" spans="1:8" s="253" customFormat="1" ht="19.899999999999999" customHeight="1">
      <c r="A173" s="491"/>
      <c r="C173" s="1012" t="s">
        <v>148</v>
      </c>
      <c r="D173" s="982"/>
      <c r="E173" s="992"/>
      <c r="F173" s="252"/>
      <c r="G173" s="257"/>
      <c r="H173" s="257"/>
    </row>
    <row r="174" spans="1:8" s="253" customFormat="1" ht="19.899999999999999" customHeight="1">
      <c r="A174" s="491"/>
      <c r="C174" s="1012" t="s">
        <v>148</v>
      </c>
      <c r="D174" s="982"/>
      <c r="E174" s="992"/>
      <c r="F174" s="252"/>
      <c r="G174" s="257"/>
      <c r="H174" s="257"/>
    </row>
    <row r="175" spans="1:8" s="253" customFormat="1" ht="19.899999999999999" customHeight="1">
      <c r="A175" s="491"/>
      <c r="C175" s="1012" t="s">
        <v>148</v>
      </c>
      <c r="D175" s="982"/>
      <c r="E175" s="992"/>
      <c r="F175" s="252"/>
      <c r="G175" s="257"/>
      <c r="H175" s="257"/>
    </row>
    <row r="176" spans="1:8" s="253" customFormat="1" ht="19.899999999999999" customHeight="1">
      <c r="A176" s="491"/>
      <c r="C176" s="1012" t="s">
        <v>148</v>
      </c>
      <c r="D176" s="982"/>
      <c r="E176" s="992"/>
      <c r="F176" s="252"/>
      <c r="G176" s="257"/>
      <c r="H176" s="257"/>
    </row>
    <row r="177" spans="1:8" s="253" customFormat="1" ht="19.899999999999999" customHeight="1">
      <c r="A177" s="491"/>
      <c r="C177" s="1012" t="s">
        <v>148</v>
      </c>
      <c r="D177" s="982"/>
      <c r="E177" s="992"/>
      <c r="F177" s="252"/>
      <c r="G177" s="257"/>
      <c r="H177" s="257"/>
    </row>
    <row r="178" spans="1:8" s="253" customFormat="1" ht="19.899999999999999" customHeight="1" thickBot="1">
      <c r="A178" s="491"/>
      <c r="C178" s="982" t="s">
        <v>148</v>
      </c>
      <c r="D178" s="982"/>
      <c r="E178" s="992"/>
      <c r="F178" s="252"/>
      <c r="G178" s="257"/>
      <c r="H178" s="257"/>
    </row>
    <row r="179" spans="1:8" s="253" customFormat="1" ht="19.899999999999999" customHeight="1" thickBot="1">
      <c r="A179" s="1020"/>
      <c r="C179" s="261"/>
      <c r="D179" s="262"/>
      <c r="E179" s="263"/>
      <c r="F179" s="264">
        <f>E179</f>
        <v>0</v>
      </c>
      <c r="G179" s="257"/>
      <c r="H179" s="257"/>
    </row>
    <row r="180" spans="1:8" s="253" customFormat="1" ht="19.899999999999999" customHeight="1">
      <c r="A180" s="1016">
        <v>45870</v>
      </c>
      <c r="C180" s="1012" t="s">
        <v>148</v>
      </c>
      <c r="D180" s="266"/>
      <c r="E180" s="265"/>
      <c r="F180" s="252"/>
      <c r="G180" s="257"/>
      <c r="H180" s="257"/>
    </row>
    <row r="181" spans="1:8" s="253" customFormat="1" ht="19.899999999999999" customHeight="1">
      <c r="A181" s="491"/>
      <c r="C181" s="1012" t="s">
        <v>148</v>
      </c>
      <c r="D181" s="982"/>
      <c r="E181" s="992"/>
      <c r="F181" s="252"/>
      <c r="G181" s="257"/>
      <c r="H181" s="257"/>
    </row>
    <row r="182" spans="1:8" s="253" customFormat="1" ht="19.899999999999999" customHeight="1">
      <c r="A182" s="491"/>
      <c r="C182" s="1012" t="s">
        <v>148</v>
      </c>
      <c r="D182" s="982"/>
      <c r="E182" s="992"/>
      <c r="F182" s="252"/>
      <c r="G182" s="257"/>
      <c r="H182" s="257"/>
    </row>
    <row r="183" spans="1:8" s="253" customFormat="1" ht="19.899999999999999" customHeight="1">
      <c r="A183" s="491"/>
      <c r="C183" s="1012" t="s">
        <v>148</v>
      </c>
      <c r="D183" s="982"/>
      <c r="E183" s="992"/>
      <c r="F183" s="252"/>
      <c r="G183" s="257"/>
      <c r="H183" s="257"/>
    </row>
    <row r="184" spans="1:8" s="253" customFormat="1" ht="19.899999999999999" customHeight="1">
      <c r="A184" s="491"/>
      <c r="C184" s="1012" t="s">
        <v>148</v>
      </c>
      <c r="D184" s="982"/>
      <c r="E184" s="992"/>
      <c r="F184" s="252"/>
      <c r="G184" s="257"/>
      <c r="H184" s="257"/>
    </row>
    <row r="185" spans="1:8" s="253" customFormat="1" ht="19.899999999999999" customHeight="1">
      <c r="A185" s="491"/>
      <c r="C185" s="1012" t="s">
        <v>148</v>
      </c>
      <c r="D185" s="982"/>
      <c r="E185" s="992"/>
      <c r="F185" s="252"/>
      <c r="G185" s="257"/>
      <c r="H185" s="257"/>
    </row>
    <row r="186" spans="1:8" s="253" customFormat="1" ht="19.899999999999999" customHeight="1">
      <c r="A186" s="491"/>
      <c r="C186" s="1012"/>
      <c r="D186" s="982"/>
      <c r="E186" s="992"/>
      <c r="F186" s="252"/>
      <c r="G186" s="257"/>
      <c r="H186" s="257"/>
    </row>
    <row r="187" spans="1:8" s="253" customFormat="1" ht="19.899999999999999" customHeight="1">
      <c r="A187" s="491"/>
      <c r="C187" s="1012"/>
      <c r="D187" s="982"/>
      <c r="E187" s="992"/>
      <c r="F187" s="252"/>
      <c r="G187" s="257"/>
      <c r="H187" s="257"/>
    </row>
    <row r="188" spans="1:8" s="253" customFormat="1" ht="19.899999999999999" customHeight="1">
      <c r="A188" s="491"/>
      <c r="C188" s="1012"/>
      <c r="D188" s="982"/>
      <c r="E188" s="992"/>
      <c r="F188" s="252"/>
      <c r="G188" s="257"/>
      <c r="H188" s="257"/>
    </row>
    <row r="189" spans="1:8" s="253" customFormat="1" ht="19.899999999999999" customHeight="1">
      <c r="A189" s="491"/>
      <c r="C189" s="1012"/>
      <c r="D189" s="982"/>
      <c r="E189" s="992"/>
      <c r="F189" s="252"/>
      <c r="G189" s="257"/>
      <c r="H189" s="257"/>
    </row>
    <row r="190" spans="1:8" s="253" customFormat="1" ht="19.899999999999999" customHeight="1">
      <c r="A190" s="491"/>
      <c r="C190" s="1012"/>
      <c r="D190" s="982"/>
      <c r="E190" s="992"/>
      <c r="F190" s="252"/>
      <c r="G190" s="257"/>
      <c r="H190" s="257"/>
    </row>
    <row r="191" spans="1:8" s="253" customFormat="1" ht="19.899999999999999" customHeight="1">
      <c r="A191" s="491"/>
      <c r="C191" s="1012"/>
      <c r="D191" s="982"/>
      <c r="E191" s="992"/>
      <c r="F191" s="252"/>
      <c r="G191" s="257"/>
      <c r="H191" s="257"/>
    </row>
    <row r="192" spans="1:8" s="253" customFormat="1" ht="19.899999999999999" customHeight="1">
      <c r="A192" s="491"/>
      <c r="C192" s="1012"/>
      <c r="D192" s="982"/>
      <c r="E192" s="992"/>
      <c r="F192" s="252"/>
      <c r="G192" s="257"/>
      <c r="H192" s="257"/>
    </row>
    <row r="193" spans="1:8" s="253" customFormat="1" ht="19.899999999999999" customHeight="1">
      <c r="A193" s="491"/>
      <c r="C193" s="1012"/>
      <c r="D193" s="982"/>
      <c r="E193" s="992"/>
      <c r="F193" s="252"/>
      <c r="G193" s="257"/>
      <c r="H193" s="257"/>
    </row>
    <row r="194" spans="1:8" s="253" customFormat="1" ht="19.899999999999999" customHeight="1">
      <c r="A194" s="491"/>
      <c r="C194" s="1012"/>
      <c r="D194" s="982"/>
      <c r="E194" s="992"/>
      <c r="F194" s="252"/>
      <c r="G194" s="257"/>
      <c r="H194" s="257"/>
    </row>
    <row r="195" spans="1:8" s="253" customFormat="1" ht="19.899999999999999" customHeight="1">
      <c r="A195" s="491"/>
      <c r="C195" s="1012"/>
      <c r="D195" s="982"/>
      <c r="E195" s="992"/>
      <c r="F195" s="252"/>
      <c r="G195" s="257"/>
      <c r="H195" s="257"/>
    </row>
    <row r="196" spans="1:8" s="253" customFormat="1" ht="19.899999999999999" customHeight="1" thickBot="1">
      <c r="A196" s="491"/>
      <c r="C196" s="982"/>
      <c r="D196" s="982"/>
      <c r="E196" s="992"/>
      <c r="F196" s="252"/>
      <c r="G196" s="257"/>
      <c r="H196" s="257"/>
    </row>
    <row r="197" spans="1:8" s="253" customFormat="1" ht="19.899999999999999" customHeight="1" thickBot="1">
      <c r="A197" s="1020"/>
      <c r="C197" s="261"/>
      <c r="D197" s="262"/>
      <c r="E197" s="263"/>
      <c r="F197" s="264">
        <f>E197</f>
        <v>0</v>
      </c>
      <c r="G197" s="257"/>
      <c r="H197" s="257"/>
    </row>
    <row r="198" spans="1:8" s="253" customFormat="1" ht="19.899999999999999" customHeight="1">
      <c r="A198" s="1016">
        <v>45536</v>
      </c>
      <c r="C198" s="1012" t="s">
        <v>148</v>
      </c>
      <c r="D198" s="266"/>
      <c r="E198" s="265"/>
      <c r="F198" s="252"/>
      <c r="G198" s="257"/>
      <c r="H198" s="257"/>
    </row>
    <row r="199" spans="1:8" s="253" customFormat="1" ht="19.899999999999999" customHeight="1">
      <c r="A199" s="491"/>
      <c r="C199" s="1012" t="s">
        <v>148</v>
      </c>
      <c r="D199" s="982"/>
      <c r="E199" s="992"/>
      <c r="F199" s="252"/>
      <c r="G199" s="257"/>
      <c r="H199" s="257"/>
    </row>
    <row r="200" spans="1:8" s="253" customFormat="1" ht="19.899999999999999" customHeight="1">
      <c r="A200" s="491"/>
      <c r="C200" s="1012" t="s">
        <v>148</v>
      </c>
      <c r="D200" s="982"/>
      <c r="E200" s="992"/>
      <c r="F200" s="252"/>
      <c r="G200" s="257"/>
      <c r="H200" s="257"/>
    </row>
    <row r="201" spans="1:8" s="253" customFormat="1" ht="19.899999999999999" customHeight="1">
      <c r="A201" s="491"/>
      <c r="C201" s="1012" t="s">
        <v>148</v>
      </c>
      <c r="D201" s="982"/>
      <c r="E201" s="992"/>
      <c r="F201" s="252"/>
      <c r="G201" s="257"/>
      <c r="H201" s="257"/>
    </row>
    <row r="202" spans="1:8" s="253" customFormat="1" ht="19.899999999999999" customHeight="1">
      <c r="A202" s="491"/>
      <c r="C202" s="1012" t="s">
        <v>148</v>
      </c>
      <c r="D202" s="982"/>
      <c r="E202" s="992"/>
      <c r="F202" s="252"/>
      <c r="G202" s="257"/>
      <c r="H202" s="257"/>
    </row>
    <row r="203" spans="1:8" s="253" customFormat="1" ht="19.899999999999999" customHeight="1">
      <c r="A203" s="491"/>
      <c r="C203" s="1012" t="s">
        <v>148</v>
      </c>
      <c r="D203" s="982"/>
      <c r="E203" s="992"/>
      <c r="F203" s="252"/>
      <c r="G203" s="257"/>
      <c r="H203" s="257"/>
    </row>
    <row r="204" spans="1:8" s="253" customFormat="1" ht="19.899999999999999" customHeight="1">
      <c r="A204" s="491"/>
      <c r="C204" s="1012" t="s">
        <v>148</v>
      </c>
      <c r="D204" s="982"/>
      <c r="E204" s="992"/>
      <c r="F204" s="252"/>
      <c r="G204" s="257"/>
      <c r="H204" s="257"/>
    </row>
    <row r="205" spans="1:8" s="253" customFormat="1" ht="19.899999999999999" customHeight="1">
      <c r="A205" s="491"/>
      <c r="C205" s="1012" t="s">
        <v>148</v>
      </c>
      <c r="D205" s="982"/>
      <c r="E205" s="992"/>
      <c r="F205" s="252"/>
      <c r="G205" s="257"/>
      <c r="H205" s="257"/>
    </row>
    <row r="206" spans="1:8" s="253" customFormat="1" ht="19.899999999999999" customHeight="1">
      <c r="A206" s="491"/>
      <c r="C206" s="1012"/>
      <c r="D206" s="982"/>
      <c r="E206" s="992"/>
      <c r="F206" s="252"/>
      <c r="G206" s="257"/>
      <c r="H206" s="257"/>
    </row>
    <row r="207" spans="1:8" s="253" customFormat="1" ht="19.899999999999999" customHeight="1">
      <c r="A207" s="491"/>
      <c r="C207" s="1012"/>
      <c r="D207" s="982"/>
      <c r="E207" s="992"/>
      <c r="F207" s="252"/>
      <c r="G207" s="257"/>
      <c r="H207" s="257"/>
    </row>
    <row r="208" spans="1:8" s="253" customFormat="1" ht="19.899999999999999" customHeight="1">
      <c r="A208" s="491"/>
      <c r="C208" s="1012"/>
      <c r="D208" s="982"/>
      <c r="E208" s="992"/>
      <c r="F208" s="252"/>
      <c r="G208" s="257"/>
      <c r="H208" s="257"/>
    </row>
    <row r="209" spans="1:8" s="253" customFormat="1" ht="19.899999999999999" customHeight="1">
      <c r="A209" s="491"/>
      <c r="C209" s="1012"/>
      <c r="D209" s="982"/>
      <c r="E209" s="992"/>
      <c r="F209" s="252"/>
      <c r="G209" s="257"/>
      <c r="H209" s="257"/>
    </row>
    <row r="210" spans="1:8" s="253" customFormat="1" ht="19.899999999999999" customHeight="1">
      <c r="A210" s="491"/>
      <c r="C210" s="1012"/>
      <c r="D210" s="982"/>
      <c r="E210" s="992"/>
      <c r="F210" s="252"/>
      <c r="G210" s="257"/>
      <c r="H210" s="257"/>
    </row>
    <row r="211" spans="1:8" s="253" customFormat="1" ht="19.899999999999999" customHeight="1">
      <c r="A211" s="491"/>
      <c r="C211" s="1012"/>
      <c r="D211" s="982"/>
      <c r="E211" s="992"/>
      <c r="F211" s="252"/>
      <c r="G211" s="257"/>
      <c r="H211" s="257"/>
    </row>
    <row r="212" spans="1:8" s="253" customFormat="1" ht="19.899999999999999" customHeight="1">
      <c r="A212" s="491"/>
      <c r="C212" s="1012"/>
      <c r="D212" s="982"/>
      <c r="E212" s="992"/>
      <c r="F212" s="252"/>
      <c r="G212" s="257"/>
      <c r="H212" s="257"/>
    </row>
    <row r="213" spans="1:8" s="253" customFormat="1" ht="19.899999999999999" customHeight="1">
      <c r="A213" s="491"/>
      <c r="C213" s="1012"/>
      <c r="D213" s="982"/>
      <c r="E213" s="992"/>
      <c r="F213" s="252"/>
      <c r="G213" s="257"/>
      <c r="H213" s="257"/>
    </row>
    <row r="214" spans="1:8" s="253" customFormat="1" ht="19.899999999999999" customHeight="1" thickBot="1">
      <c r="A214" s="491"/>
      <c r="C214" s="982"/>
      <c r="D214" s="982"/>
      <c r="E214" s="992"/>
      <c r="F214" s="252"/>
      <c r="G214" s="257"/>
      <c r="H214" s="257"/>
    </row>
    <row r="215" spans="1:8" s="253" customFormat="1" ht="19.899999999999999" customHeight="1" thickBot="1">
      <c r="A215" s="1020"/>
      <c r="C215" s="261"/>
      <c r="D215" s="262"/>
      <c r="E215" s="263"/>
      <c r="F215" s="264">
        <f>E215</f>
        <v>0</v>
      </c>
      <c r="G215" s="257"/>
      <c r="H215" s="257"/>
    </row>
    <row r="216" spans="1:8" s="253" customFormat="1" ht="19.899999999999999" customHeight="1">
      <c r="A216"/>
      <c r="B216"/>
      <c r="C216"/>
      <c r="D216"/>
      <c r="E216"/>
      <c r="F216" s="252"/>
      <c r="G216" s="257"/>
      <c r="H216" s="257"/>
    </row>
    <row r="217" spans="1:8" s="253" customFormat="1" ht="19.899999999999999" customHeight="1">
      <c r="A217"/>
      <c r="B217"/>
      <c r="C217"/>
      <c r="D217"/>
      <c r="E217"/>
      <c r="F217" s="252"/>
      <c r="G217" s="257"/>
      <c r="H217" s="257"/>
    </row>
    <row r="218" spans="1:8" s="253" customFormat="1" ht="19.899999999999999" customHeight="1">
      <c r="A218"/>
      <c r="B218"/>
      <c r="C218"/>
      <c r="D218"/>
      <c r="E218"/>
      <c r="F218" s="258">
        <f>SUM(F18:F217)</f>
        <v>0</v>
      </c>
      <c r="G218" s="257"/>
      <c r="H218" s="257"/>
    </row>
    <row r="219" spans="1:8" s="253" customFormat="1" ht="19.899999999999999" customHeight="1">
      <c r="A219"/>
      <c r="B219"/>
      <c r="C219"/>
      <c r="D219"/>
      <c r="E219"/>
      <c r="F219" s="259"/>
      <c r="G219" s="257"/>
      <c r="H219" s="257"/>
    </row>
    <row r="220" spans="1:8" s="253" customFormat="1" ht="19.899999999999999" customHeight="1">
      <c r="A220"/>
      <c r="B220"/>
      <c r="C220"/>
      <c r="D220"/>
      <c r="E220"/>
      <c r="F220"/>
      <c r="G220" s="257"/>
      <c r="H220" s="257"/>
    </row>
    <row r="221" spans="1:8" s="253" customFormat="1" ht="19.899999999999999" customHeight="1">
      <c r="A221"/>
      <c r="B221"/>
      <c r="C221"/>
      <c r="D221"/>
      <c r="E221"/>
      <c r="F221"/>
      <c r="G221" s="257"/>
      <c r="H221" s="257"/>
    </row>
    <row r="222" spans="1:8" s="253" customFormat="1" ht="19.899999999999999" customHeight="1">
      <c r="A222"/>
      <c r="B222"/>
      <c r="C222"/>
      <c r="D222"/>
      <c r="E222"/>
      <c r="F222"/>
      <c r="G222" s="257"/>
      <c r="H222" s="257"/>
    </row>
    <row r="223" spans="1:8" s="253" customFormat="1" ht="19.899999999999999" customHeight="1">
      <c r="A223"/>
      <c r="B223"/>
      <c r="C223"/>
      <c r="D223"/>
      <c r="E223"/>
      <c r="F223"/>
      <c r="G223" s="257"/>
      <c r="H223" s="257"/>
    </row>
    <row r="224" spans="1:8" s="253" customFormat="1" ht="19.899999999999999" customHeight="1">
      <c r="A224"/>
      <c r="B224"/>
      <c r="C224"/>
      <c r="D224"/>
      <c r="E224"/>
      <c r="F224"/>
      <c r="G224" s="257"/>
      <c r="H224" s="257"/>
    </row>
    <row r="225" spans="1:8" s="253" customFormat="1" ht="19.899999999999999" customHeight="1">
      <c r="A225"/>
      <c r="B225"/>
      <c r="C225"/>
      <c r="D225"/>
      <c r="E225"/>
      <c r="F225"/>
      <c r="G225" s="257"/>
      <c r="H225" s="257"/>
    </row>
    <row r="226" spans="1:8" s="253" customFormat="1" ht="19.899999999999999" customHeight="1">
      <c r="A226"/>
      <c r="B226"/>
      <c r="C226"/>
      <c r="D226"/>
      <c r="E226"/>
      <c r="F226"/>
      <c r="G226" s="257"/>
      <c r="H226" s="257"/>
    </row>
    <row r="227" spans="1:8" s="253" customFormat="1" ht="19.899999999999999" customHeight="1">
      <c r="A227"/>
      <c r="B227"/>
      <c r="C227"/>
      <c r="D227"/>
      <c r="E227"/>
      <c r="F227"/>
      <c r="G227" s="257"/>
      <c r="H227" s="257"/>
    </row>
    <row r="228" spans="1:8" s="253" customFormat="1" ht="19.899999999999999" customHeight="1">
      <c r="A228"/>
      <c r="B228"/>
      <c r="C228"/>
      <c r="D228"/>
      <c r="E228"/>
      <c r="F228"/>
      <c r="G228" s="257"/>
      <c r="H228" s="257"/>
    </row>
    <row r="229" spans="1:8" s="253" customFormat="1" ht="19.899999999999999" customHeight="1">
      <c r="A229"/>
      <c r="B229"/>
      <c r="C229"/>
      <c r="D229"/>
      <c r="E229"/>
      <c r="F229"/>
      <c r="G229" s="257"/>
      <c r="H229" s="257"/>
    </row>
    <row r="230" spans="1:8" s="253" customFormat="1" ht="19.899999999999999" customHeight="1">
      <c r="A230"/>
      <c r="B230"/>
      <c r="C230"/>
      <c r="D230"/>
      <c r="E230"/>
      <c r="F230"/>
      <c r="G230" s="257"/>
      <c r="H230" s="257"/>
    </row>
    <row r="231" spans="1:8" s="253" customFormat="1" ht="19.899999999999999" customHeight="1">
      <c r="A231"/>
      <c r="B231"/>
      <c r="C231"/>
      <c r="D231"/>
      <c r="E231"/>
      <c r="F231"/>
      <c r="G231" s="257"/>
      <c r="H231" s="257"/>
    </row>
    <row r="232" spans="1:8" s="253" customFormat="1" ht="19.899999999999999" customHeight="1">
      <c r="A232"/>
      <c r="B232"/>
      <c r="C232"/>
      <c r="D232"/>
      <c r="E232"/>
      <c r="F232"/>
      <c r="G232" s="257"/>
      <c r="H232" s="257"/>
    </row>
    <row r="233" spans="1:8" s="253" customFormat="1" ht="19.899999999999999" customHeight="1">
      <c r="A233"/>
      <c r="B233"/>
      <c r="C233"/>
      <c r="D233"/>
      <c r="E233"/>
      <c r="F233"/>
      <c r="G233" s="257"/>
    </row>
    <row r="234" spans="1:8" s="253" customFormat="1" ht="19.899999999999999" customHeight="1">
      <c r="A234"/>
      <c r="B234"/>
      <c r="C234"/>
      <c r="D234"/>
      <c r="E234"/>
      <c r="F234"/>
      <c r="H234"/>
    </row>
    <row r="235" spans="1:8" s="253" customFormat="1" ht="19.899999999999999" customHeight="1">
      <c r="A235"/>
      <c r="B235"/>
      <c r="C235"/>
      <c r="D235"/>
      <c r="E235"/>
      <c r="F235"/>
      <c r="G235"/>
      <c r="H235"/>
    </row>
    <row r="236" spans="1:8" s="253" customFormat="1" ht="19.899999999999999" customHeight="1">
      <c r="A236"/>
      <c r="B236"/>
      <c r="C236"/>
      <c r="D236"/>
      <c r="E236"/>
      <c r="F236"/>
      <c r="G236"/>
      <c r="H236"/>
    </row>
    <row r="237" spans="1:8" s="253" customFormat="1" ht="19.899999999999999" customHeight="1">
      <c r="A237"/>
      <c r="B237"/>
      <c r="C237"/>
      <c r="D237"/>
      <c r="E237"/>
      <c r="F237"/>
      <c r="G237"/>
      <c r="H237"/>
    </row>
    <row r="238" spans="1:8" s="253" customFormat="1" ht="19.899999999999999" customHeight="1">
      <c r="A238"/>
      <c r="B238"/>
      <c r="C238"/>
      <c r="D238"/>
      <c r="E238"/>
      <c r="F238"/>
      <c r="G238"/>
      <c r="H238"/>
    </row>
    <row r="239" spans="1:8" s="253" customFormat="1" ht="19.899999999999999" customHeight="1">
      <c r="A239"/>
      <c r="B239"/>
      <c r="C239"/>
      <c r="D239"/>
      <c r="E239"/>
      <c r="F239"/>
      <c r="G239"/>
      <c r="H239"/>
    </row>
    <row r="240" spans="1:8" s="253" customFormat="1" ht="19.899999999999999" customHeight="1">
      <c r="A240"/>
      <c r="B240"/>
      <c r="C240"/>
      <c r="D240"/>
      <c r="E240"/>
      <c r="F240"/>
      <c r="G240"/>
      <c r="H240"/>
    </row>
    <row r="241" spans="1:8" s="253" customFormat="1" ht="19.899999999999999" customHeight="1">
      <c r="A241"/>
      <c r="B241"/>
      <c r="C241"/>
      <c r="D241"/>
      <c r="E241"/>
      <c r="F241"/>
      <c r="G241"/>
      <c r="H241"/>
    </row>
    <row r="242" spans="1:8" s="253" customFormat="1" ht="19.899999999999999" customHeight="1">
      <c r="A242"/>
      <c r="B242"/>
      <c r="C242"/>
      <c r="D242"/>
      <c r="E242"/>
      <c r="F242"/>
      <c r="G242"/>
      <c r="H242"/>
    </row>
    <row r="243" spans="1:8" s="253" customFormat="1" ht="19.899999999999999" customHeight="1">
      <c r="A243"/>
      <c r="B243"/>
      <c r="C243"/>
      <c r="D243"/>
      <c r="E243"/>
      <c r="F243"/>
      <c r="G243"/>
      <c r="H243"/>
    </row>
    <row r="244" spans="1:8" s="253" customFormat="1" ht="19.899999999999999" customHeight="1">
      <c r="A244"/>
      <c r="B244"/>
      <c r="C244"/>
      <c r="D244"/>
      <c r="E244"/>
      <c r="F244"/>
      <c r="G244"/>
      <c r="H244"/>
    </row>
    <row r="245" spans="1:8" s="253" customFormat="1" ht="19.899999999999999" customHeight="1">
      <c r="A245"/>
      <c r="B245"/>
      <c r="C245"/>
      <c r="D245"/>
      <c r="E245"/>
      <c r="F245"/>
      <c r="G245"/>
      <c r="H245"/>
    </row>
    <row r="246" spans="1:8" s="253" customFormat="1" ht="19.899999999999999" customHeight="1">
      <c r="A246"/>
      <c r="B246"/>
      <c r="C246"/>
      <c r="D246"/>
      <c r="E246"/>
      <c r="F246"/>
      <c r="G246"/>
      <c r="H246"/>
    </row>
    <row r="247" spans="1:8" s="253" customFormat="1" ht="19.899999999999999" customHeight="1">
      <c r="A247"/>
      <c r="B247"/>
      <c r="C247"/>
      <c r="D247"/>
      <c r="E247"/>
      <c r="F247"/>
      <c r="G247"/>
      <c r="H247"/>
    </row>
    <row r="248" spans="1:8" s="253" customFormat="1" ht="19.899999999999999" customHeight="1">
      <c r="A248"/>
      <c r="B248"/>
      <c r="C248"/>
      <c r="D248"/>
      <c r="E248"/>
      <c r="F248"/>
      <c r="G248"/>
      <c r="H248"/>
    </row>
    <row r="249" spans="1:8" s="253" customFormat="1" ht="19.899999999999999" customHeight="1">
      <c r="A249"/>
      <c r="B249"/>
      <c r="C249"/>
      <c r="D249"/>
      <c r="E249"/>
      <c r="F249"/>
      <c r="G249"/>
      <c r="H249"/>
    </row>
    <row r="250" spans="1:8" s="253" customFormat="1" ht="19.899999999999999" customHeight="1">
      <c r="A250"/>
      <c r="B250"/>
      <c r="C250"/>
      <c r="D250"/>
      <c r="E250"/>
      <c r="F250"/>
      <c r="G250"/>
      <c r="H250"/>
    </row>
    <row r="251" spans="1:8" s="253" customFormat="1" ht="19.899999999999999" customHeight="1">
      <c r="A251"/>
      <c r="B251"/>
      <c r="C251"/>
      <c r="D251"/>
      <c r="E251"/>
      <c r="F251"/>
      <c r="G251"/>
      <c r="H251"/>
    </row>
    <row r="252" spans="1:8" s="253" customFormat="1" ht="19.899999999999999" customHeight="1">
      <c r="A252"/>
      <c r="B252"/>
      <c r="C252"/>
      <c r="D252"/>
      <c r="E252"/>
      <c r="F252"/>
      <c r="G252"/>
      <c r="H252"/>
    </row>
    <row r="253" spans="1:8" s="253" customFormat="1" ht="19.899999999999999" customHeight="1">
      <c r="A253"/>
      <c r="B253"/>
      <c r="C253"/>
      <c r="D253"/>
      <c r="E253"/>
      <c r="F253"/>
      <c r="G253"/>
      <c r="H253"/>
    </row>
    <row r="254" spans="1:8" s="253" customFormat="1" ht="19.899999999999999" customHeight="1">
      <c r="A254"/>
      <c r="B254"/>
      <c r="C254"/>
      <c r="D254"/>
      <c r="E254"/>
      <c r="F254"/>
      <c r="G254"/>
      <c r="H254"/>
    </row>
    <row r="255" spans="1:8" s="253" customFormat="1" ht="19.899999999999999" customHeight="1">
      <c r="A255"/>
      <c r="B255"/>
      <c r="C255"/>
      <c r="D255"/>
      <c r="E255"/>
      <c r="F255"/>
      <c r="G255"/>
      <c r="H255"/>
    </row>
    <row r="256" spans="1:8" s="253" customFormat="1" ht="19.899999999999999" customHeight="1">
      <c r="A256"/>
      <c r="B256"/>
      <c r="C256"/>
      <c r="D256"/>
      <c r="E256"/>
      <c r="F256"/>
      <c r="G256"/>
      <c r="H256"/>
    </row>
    <row r="257" spans="1:8" s="253" customFormat="1" ht="19.899999999999999" customHeight="1">
      <c r="A257"/>
      <c r="B257"/>
      <c r="C257"/>
      <c r="D257"/>
      <c r="E257"/>
      <c r="F257"/>
      <c r="G257"/>
      <c r="H257"/>
    </row>
    <row r="258" spans="1:8" s="253" customFormat="1" ht="19.899999999999999" customHeight="1">
      <c r="A258"/>
      <c r="B258"/>
      <c r="C258"/>
      <c r="D258"/>
      <c r="E258"/>
      <c r="F258"/>
      <c r="G258"/>
      <c r="H258"/>
    </row>
  </sheetData>
  <mergeCells count="12">
    <mergeCell ref="A198:A215"/>
    <mergeCell ref="A103:A115"/>
    <mergeCell ref="A116:A138"/>
    <mergeCell ref="A139:A155"/>
    <mergeCell ref="A156:A179"/>
    <mergeCell ref="A180:A197"/>
    <mergeCell ref="A88:A102"/>
    <mergeCell ref="A4:A17"/>
    <mergeCell ref="A19:A34"/>
    <mergeCell ref="A35:A53"/>
    <mergeCell ref="A54:A72"/>
    <mergeCell ref="A73:A87"/>
  </mergeCells>
  <phoneticPr fontId="48" type="noConversion"/>
  <pageMargins left="0.7" right="0.7" top="0.78740157499999996" bottom="0.78740157499999996" header="0.3" footer="0.3"/>
  <pageSetup paperSize="9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42523A-7301-454A-8070-5A3F267CEF4F}">
  <dimension ref="B1:G43"/>
  <sheetViews>
    <sheetView topLeftCell="A8" workbookViewId="0">
      <selection activeCell="K17" sqref="K17"/>
    </sheetView>
  </sheetViews>
  <sheetFormatPr defaultColWidth="11.42578125" defaultRowHeight="14.45"/>
  <sheetData>
    <row r="1" spans="2:7" ht="18">
      <c r="B1" s="183" t="s">
        <v>1160</v>
      </c>
      <c r="C1" s="184"/>
      <c r="D1" s="184"/>
      <c r="E1" s="184"/>
      <c r="F1" s="185"/>
      <c r="G1" s="185"/>
    </row>
    <row r="2" spans="2:7" ht="18">
      <c r="B2" s="186"/>
      <c r="C2" s="187"/>
      <c r="D2" s="184"/>
      <c r="E2" s="184"/>
      <c r="F2" s="185"/>
      <c r="G2" s="185"/>
    </row>
    <row r="3" spans="2:7" ht="18">
      <c r="B3" s="188" t="s">
        <v>1161</v>
      </c>
      <c r="C3" s="183" t="s">
        <v>1162</v>
      </c>
      <c r="D3" s="184"/>
      <c r="E3" s="184"/>
      <c r="F3" s="185"/>
      <c r="G3" s="185"/>
    </row>
    <row r="4" spans="2:7" ht="18">
      <c r="B4" s="186"/>
      <c r="C4" s="184" t="s">
        <v>1163</v>
      </c>
      <c r="D4" s="184"/>
      <c r="E4" s="184"/>
      <c r="F4" s="185"/>
      <c r="G4" s="185"/>
    </row>
    <row r="5" spans="2:7" ht="18">
      <c r="B5" s="189"/>
      <c r="C5" s="184" t="s">
        <v>1164</v>
      </c>
      <c r="D5" s="184"/>
      <c r="E5" s="184"/>
      <c r="F5" s="185"/>
      <c r="G5" s="185"/>
    </row>
    <row r="6" spans="2:7" ht="18">
      <c r="B6" s="189"/>
      <c r="C6" s="184"/>
      <c r="D6" s="184"/>
      <c r="E6" s="184"/>
      <c r="F6" s="185"/>
      <c r="G6" s="185"/>
    </row>
    <row r="7" spans="2:7" ht="18">
      <c r="B7" s="190" t="s">
        <v>1165</v>
      </c>
      <c r="C7" s="191" t="s">
        <v>1166</v>
      </c>
      <c r="D7" s="191"/>
      <c r="E7" s="184"/>
      <c r="F7" s="185"/>
      <c r="G7" s="185"/>
    </row>
    <row r="8" spans="2:7" ht="18">
      <c r="B8" s="189"/>
      <c r="C8" s="184" t="s">
        <v>1163</v>
      </c>
      <c r="D8" s="184"/>
      <c r="E8" s="184"/>
      <c r="F8" s="185"/>
      <c r="G8" s="185"/>
    </row>
    <row r="9" spans="2:7" ht="18">
      <c r="B9" s="189"/>
      <c r="C9" s="184" t="s">
        <v>1167</v>
      </c>
      <c r="D9" s="184"/>
      <c r="E9" s="184"/>
      <c r="F9" s="185"/>
      <c r="G9" s="185"/>
    </row>
    <row r="10" spans="2:7" ht="18">
      <c r="B10" s="189"/>
      <c r="C10" s="184"/>
      <c r="D10" s="184"/>
      <c r="E10" s="184"/>
      <c r="F10" s="185"/>
      <c r="G10" s="185"/>
    </row>
    <row r="11" spans="2:7" ht="18">
      <c r="B11" s="190" t="s">
        <v>1168</v>
      </c>
      <c r="C11" s="191" t="s">
        <v>1169</v>
      </c>
      <c r="D11" s="191"/>
      <c r="E11" s="191"/>
      <c r="F11" s="192"/>
      <c r="G11" s="185"/>
    </row>
    <row r="12" spans="2:7" ht="18">
      <c r="B12" s="189"/>
      <c r="C12" s="184" t="s">
        <v>1163</v>
      </c>
      <c r="D12" s="184"/>
      <c r="E12" s="184"/>
      <c r="F12" s="185"/>
      <c r="G12" s="185"/>
    </row>
    <row r="13" spans="2:7" ht="18">
      <c r="B13" s="189"/>
      <c r="C13" s="184" t="s">
        <v>1170</v>
      </c>
      <c r="D13" s="184"/>
      <c r="E13" s="184"/>
      <c r="F13" s="185"/>
      <c r="G13" s="185"/>
    </row>
    <row r="14" spans="2:7" ht="18">
      <c r="B14" s="189"/>
      <c r="C14" s="184" t="s">
        <v>1171</v>
      </c>
      <c r="D14" s="184"/>
      <c r="E14" s="184"/>
      <c r="F14" s="185"/>
      <c r="G14" s="185"/>
    </row>
    <row r="15" spans="2:7" ht="18">
      <c r="B15" s="189"/>
      <c r="C15" s="184"/>
      <c r="D15" s="184"/>
      <c r="E15" s="184"/>
      <c r="F15" s="185"/>
      <c r="G15" s="185"/>
    </row>
    <row r="16" spans="2:7" ht="18">
      <c r="B16" s="190" t="s">
        <v>1172</v>
      </c>
      <c r="C16" s="191" t="s">
        <v>1173</v>
      </c>
      <c r="D16" s="184"/>
      <c r="E16" s="184"/>
      <c r="F16" s="185"/>
      <c r="G16" s="185"/>
    </row>
    <row r="17" spans="2:7" ht="18">
      <c r="B17" s="189"/>
      <c r="C17" s="184" t="s">
        <v>1163</v>
      </c>
      <c r="D17" s="184"/>
      <c r="E17" s="184"/>
      <c r="F17" s="185"/>
      <c r="G17" s="185"/>
    </row>
    <row r="18" spans="2:7" ht="18">
      <c r="B18" s="189"/>
      <c r="C18" s="184" t="s">
        <v>1174</v>
      </c>
      <c r="D18" s="184"/>
      <c r="E18" s="184"/>
      <c r="F18" s="185" t="s">
        <v>1175</v>
      </c>
      <c r="G18" s="185"/>
    </row>
    <row r="19" spans="2:7" ht="18">
      <c r="B19" s="189"/>
      <c r="C19" s="184" t="s">
        <v>1176</v>
      </c>
      <c r="D19" s="184"/>
      <c r="E19" s="184"/>
      <c r="F19" s="185" t="s">
        <v>1177</v>
      </c>
      <c r="G19" s="185"/>
    </row>
    <row r="20" spans="2:7" ht="18">
      <c r="B20" s="189"/>
      <c r="C20" s="184" t="s">
        <v>1178</v>
      </c>
      <c r="D20" s="184"/>
      <c r="E20" s="184"/>
      <c r="F20" s="185" t="s">
        <v>1179</v>
      </c>
      <c r="G20" s="185"/>
    </row>
    <row r="21" spans="2:7" ht="18">
      <c r="B21" s="189"/>
      <c r="C21" s="184" t="s">
        <v>1180</v>
      </c>
      <c r="D21" s="184"/>
      <c r="E21" s="184"/>
      <c r="F21" s="185" t="s">
        <v>1181</v>
      </c>
      <c r="G21" s="185"/>
    </row>
    <row r="22" spans="2:7" ht="18">
      <c r="B22" s="189"/>
      <c r="C22" s="184" t="s">
        <v>1182</v>
      </c>
      <c r="D22" s="184"/>
      <c r="E22" s="184"/>
      <c r="F22" s="185" t="s">
        <v>1183</v>
      </c>
      <c r="G22" s="185"/>
    </row>
    <row r="23" spans="2:7" ht="18">
      <c r="B23" s="184"/>
      <c r="C23" s="184" t="s">
        <v>1184</v>
      </c>
      <c r="D23" s="184"/>
      <c r="E23" s="184"/>
      <c r="F23" s="185" t="s">
        <v>1185</v>
      </c>
      <c r="G23" s="185"/>
    </row>
    <row r="24" spans="2:7" ht="18">
      <c r="B24" s="184"/>
      <c r="C24" s="184"/>
      <c r="D24" s="184"/>
      <c r="E24" s="184"/>
      <c r="F24" s="185"/>
      <c r="G24" s="185"/>
    </row>
    <row r="25" spans="2:7" ht="18">
      <c r="B25" s="191" t="s">
        <v>1186</v>
      </c>
      <c r="C25" s="184"/>
      <c r="D25" s="184"/>
      <c r="E25" s="184"/>
      <c r="F25" s="185"/>
      <c r="G25" s="185"/>
    </row>
    <row r="26" spans="2:7">
      <c r="B26" s="185"/>
      <c r="C26" s="185"/>
      <c r="D26" s="185"/>
      <c r="E26" s="185"/>
      <c r="F26" s="185"/>
      <c r="G26" s="185"/>
    </row>
    <row r="27" spans="2:7" ht="18">
      <c r="B27" s="184" t="s">
        <v>1187</v>
      </c>
      <c r="C27" s="184" t="s">
        <v>1188</v>
      </c>
      <c r="D27" s="185"/>
      <c r="E27" s="185"/>
      <c r="F27" s="185"/>
      <c r="G27" s="185"/>
    </row>
    <row r="28" spans="2:7" ht="18">
      <c r="B28" s="184" t="s">
        <v>1187</v>
      </c>
      <c r="C28" s="184" t="s">
        <v>1189</v>
      </c>
      <c r="D28" s="185"/>
      <c r="E28" s="185"/>
      <c r="F28" s="185"/>
      <c r="G28" s="185"/>
    </row>
    <row r="29" spans="2:7" ht="18">
      <c r="B29" s="184" t="s">
        <v>1187</v>
      </c>
      <c r="C29" s="184" t="s">
        <v>1190</v>
      </c>
      <c r="D29" s="185"/>
      <c r="E29" s="185"/>
      <c r="F29" s="185"/>
      <c r="G29" s="185"/>
    </row>
    <row r="30" spans="2:7" ht="18">
      <c r="B30" s="184" t="s">
        <v>1187</v>
      </c>
      <c r="C30" s="184" t="s">
        <v>1191</v>
      </c>
      <c r="D30" s="185"/>
      <c r="E30" s="185"/>
      <c r="F30" s="185"/>
      <c r="G30" s="185"/>
    </row>
    <row r="31" spans="2:7" ht="18">
      <c r="B31" s="184" t="s">
        <v>1187</v>
      </c>
      <c r="C31" s="184" t="s">
        <v>1192</v>
      </c>
      <c r="D31" s="185"/>
      <c r="E31" s="185"/>
      <c r="F31" s="185"/>
      <c r="G31" s="185"/>
    </row>
    <row r="32" spans="2:7" ht="18">
      <c r="B32" s="184" t="s">
        <v>1187</v>
      </c>
      <c r="C32" s="184" t="s">
        <v>1193</v>
      </c>
      <c r="D32" s="184"/>
      <c r="E32" s="184"/>
      <c r="F32" s="185"/>
      <c r="G32" s="185"/>
    </row>
    <row r="33" spans="2:7" ht="18">
      <c r="B33" s="184" t="s">
        <v>1187</v>
      </c>
      <c r="C33" s="184" t="s">
        <v>1194</v>
      </c>
      <c r="D33" s="184"/>
      <c r="E33" s="184"/>
      <c r="F33" s="185"/>
      <c r="G33" s="185"/>
    </row>
    <row r="34" spans="2:7" ht="18">
      <c r="B34" s="184" t="s">
        <v>1187</v>
      </c>
      <c r="C34" s="184" t="s">
        <v>1195</v>
      </c>
      <c r="D34" s="184"/>
      <c r="E34" s="184"/>
      <c r="F34" s="185"/>
      <c r="G34" s="185"/>
    </row>
    <row r="35" spans="2:7" ht="18">
      <c r="B35" s="184" t="s">
        <v>1187</v>
      </c>
      <c r="C35" s="184" t="s">
        <v>1196</v>
      </c>
      <c r="D35" s="184"/>
      <c r="E35" s="184"/>
      <c r="F35" s="185"/>
      <c r="G35" s="185"/>
    </row>
    <row r="36" spans="2:7" ht="18">
      <c r="B36" s="184" t="s">
        <v>1187</v>
      </c>
      <c r="C36" s="184" t="s">
        <v>1197</v>
      </c>
      <c r="D36" s="184"/>
      <c r="E36" s="184"/>
      <c r="F36" s="185"/>
      <c r="G36" s="185"/>
    </row>
    <row r="37" spans="2:7" ht="18">
      <c r="B37" s="184" t="s">
        <v>1187</v>
      </c>
      <c r="C37" s="184" t="s">
        <v>1198</v>
      </c>
      <c r="D37" s="184"/>
      <c r="E37" s="184"/>
      <c r="F37" s="185"/>
      <c r="G37" s="185"/>
    </row>
    <row r="38" spans="2:7" ht="18">
      <c r="B38" s="184" t="s">
        <v>1199</v>
      </c>
      <c r="C38" s="184" t="s">
        <v>1200</v>
      </c>
      <c r="D38" s="184"/>
      <c r="E38" s="184"/>
      <c r="F38" s="185"/>
      <c r="G38" s="185"/>
    </row>
    <row r="39" spans="2:7" ht="18">
      <c r="D39" s="184"/>
      <c r="E39" s="184"/>
      <c r="F39" s="185"/>
      <c r="G39" s="185"/>
    </row>
    <row r="40" spans="2:7" ht="18">
      <c r="B40" s="184"/>
      <c r="D40" s="185"/>
      <c r="E40" s="185"/>
      <c r="F40" s="185"/>
      <c r="G40" s="185"/>
    </row>
    <row r="41" spans="2:7">
      <c r="B41" s="185"/>
      <c r="D41" s="185"/>
      <c r="E41" s="185"/>
      <c r="F41" s="185"/>
      <c r="G41" s="185"/>
    </row>
    <row r="42" spans="2:7" ht="18">
      <c r="B42" s="184" t="s">
        <v>1201</v>
      </c>
      <c r="C42" s="185"/>
      <c r="D42" s="185"/>
      <c r="E42" s="185"/>
      <c r="F42" s="185"/>
      <c r="G42" s="185"/>
    </row>
    <row r="43" spans="2:7" ht="18">
      <c r="B43" s="184" t="s">
        <v>1202</v>
      </c>
      <c r="C43" s="185"/>
      <c r="D43" s="185"/>
      <c r="E43" s="185"/>
      <c r="F43" s="185"/>
      <c r="G43" s="185"/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Carsten Fedderke</dc:creator>
  <cp:keywords/>
  <dc:description/>
  <cp:lastModifiedBy/>
  <cp:revision/>
  <dcterms:created xsi:type="dcterms:W3CDTF">2022-03-31T14:13:39Z</dcterms:created>
  <dcterms:modified xsi:type="dcterms:W3CDTF">2026-09-09T19:00:43Z</dcterms:modified>
  <cp:category/>
  <cp:contentStatus/>
</cp:coreProperties>
</file>